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ranet Reports - Updated Jul 2019\"/>
    </mc:Choice>
  </mc:AlternateContent>
  <xr:revisionPtr revIDLastSave="0" documentId="13_ncr:1_{37E805A4-6090-416C-B678-187484CBAEDF}" xr6:coauthVersionLast="45" xr6:coauthVersionMax="45" xr10:uidLastSave="{00000000-0000-0000-0000-000000000000}"/>
  <bookViews>
    <workbookView xWindow="-110" yWindow="-110" windowWidth="19420" windowHeight="10420" tabRatio="838" xr2:uid="{00000000-000D-0000-FFFF-FFFF00000000}"/>
  </bookViews>
  <sheets>
    <sheet name="AIRCRAFT OPERATION 2011-2019" sheetId="1" r:id="rId1"/>
    <sheet name="Aircraft Operation 2019" sheetId="11" r:id="rId2"/>
    <sheet name="Aircraft Operation 2018" sheetId="2" r:id="rId3"/>
    <sheet name="Aircraft Operation 2017" sheetId="4" r:id="rId4"/>
    <sheet name="Aircraft Operation 2016" sheetId="5" r:id="rId5"/>
    <sheet name="Aircraft Operation 2015" sheetId="6" r:id="rId6"/>
    <sheet name="Aircraft Operation 2014" sheetId="7" r:id="rId7"/>
    <sheet name="Aircraft Operation 2013" sheetId="8" r:id="rId8"/>
    <sheet name="Aircraft Operation 2012" sheetId="9" r:id="rId9"/>
    <sheet name="Aircraft Operation 2011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1" l="1"/>
  <c r="F37" i="11" s="1"/>
  <c r="F36" i="11"/>
  <c r="F35" i="11"/>
  <c r="E34" i="11"/>
  <c r="D34" i="11"/>
  <c r="C34" i="11"/>
  <c r="F32" i="11"/>
  <c r="F31" i="11"/>
  <c r="F30" i="11"/>
  <c r="F29" i="11"/>
  <c r="F28" i="11"/>
  <c r="E27" i="11"/>
  <c r="F27" i="11" s="1"/>
  <c r="E26" i="11"/>
  <c r="F26" i="11" s="1"/>
  <c r="D25" i="11"/>
  <c r="C25" i="11"/>
  <c r="B25" i="11"/>
  <c r="F21" i="11"/>
  <c r="B21" i="11"/>
  <c r="F20" i="11"/>
  <c r="F19" i="11"/>
  <c r="E18" i="11"/>
  <c r="D18" i="11"/>
  <c r="C18" i="11"/>
  <c r="B18" i="11"/>
  <c r="F16" i="11"/>
  <c r="E15" i="11"/>
  <c r="F15" i="11" s="1"/>
  <c r="F14" i="11"/>
  <c r="F13" i="11"/>
  <c r="E12" i="11"/>
  <c r="F12" i="11" s="1"/>
  <c r="E11" i="11"/>
  <c r="F11" i="11" s="1"/>
  <c r="E10" i="11"/>
  <c r="D9" i="11"/>
  <c r="D39" i="11" s="1"/>
  <c r="C9" i="11"/>
  <c r="B9" i="11"/>
  <c r="B39" i="11" s="1"/>
  <c r="C39" i="11" l="1"/>
  <c r="E25" i="11"/>
  <c r="E9" i="11"/>
  <c r="E39" i="11" s="1"/>
  <c r="F18" i="11"/>
  <c r="F25" i="11"/>
  <c r="F10" i="11"/>
  <c r="B34" i="11"/>
  <c r="F34" i="11" s="1"/>
  <c r="D23" i="1"/>
  <c r="E23" i="1"/>
  <c r="F23" i="1"/>
  <c r="G23" i="1"/>
  <c r="H23" i="1"/>
  <c r="I23" i="1"/>
  <c r="J23" i="1"/>
  <c r="C23" i="1"/>
  <c r="D32" i="1"/>
  <c r="E32" i="1"/>
  <c r="F32" i="1"/>
  <c r="G32" i="1"/>
  <c r="H32" i="1"/>
  <c r="I32" i="1"/>
  <c r="C32" i="1"/>
  <c r="J35" i="1"/>
  <c r="J32" i="1" s="1"/>
  <c r="D7" i="1"/>
  <c r="E7" i="1"/>
  <c r="F7" i="1"/>
  <c r="G7" i="1"/>
  <c r="H7" i="1"/>
  <c r="I7" i="1"/>
  <c r="J7" i="1"/>
  <c r="C7" i="1"/>
  <c r="D16" i="1"/>
  <c r="E16" i="1"/>
  <c r="F16" i="1"/>
  <c r="G16" i="1"/>
  <c r="H16" i="1"/>
  <c r="I16" i="1"/>
  <c r="C16" i="1"/>
  <c r="J19" i="1"/>
  <c r="J16" i="1" s="1"/>
  <c r="E20" i="7"/>
  <c r="E19" i="7"/>
  <c r="E18" i="7"/>
  <c r="D20" i="7"/>
  <c r="D19" i="7"/>
  <c r="D18" i="7"/>
  <c r="C20" i="7"/>
  <c r="C19" i="7"/>
  <c r="C18" i="7"/>
  <c r="B20" i="7"/>
  <c r="B19" i="7"/>
  <c r="B18" i="7"/>
  <c r="D36" i="4"/>
  <c r="E36" i="4"/>
  <c r="E34" i="4"/>
  <c r="D34" i="4"/>
  <c r="C36" i="4"/>
  <c r="C35" i="4"/>
  <c r="C34" i="4"/>
  <c r="B36" i="4"/>
  <c r="B35" i="4"/>
  <c r="B34" i="4"/>
  <c r="E20" i="4"/>
  <c r="E19" i="4"/>
  <c r="E18" i="4"/>
  <c r="D20" i="4"/>
  <c r="D19" i="4"/>
  <c r="D18" i="4"/>
  <c r="C20" i="4"/>
  <c r="C19" i="4"/>
  <c r="C18" i="4"/>
  <c r="B20" i="4"/>
  <c r="B19" i="4"/>
  <c r="B18" i="4"/>
  <c r="E36" i="5"/>
  <c r="E34" i="5"/>
  <c r="D37" i="5"/>
  <c r="D36" i="5"/>
  <c r="D35" i="5"/>
  <c r="D34" i="5"/>
  <c r="C36" i="5"/>
  <c r="C34" i="5"/>
  <c r="B36" i="5"/>
  <c r="B35" i="5"/>
  <c r="B34" i="5"/>
  <c r="E20" i="5"/>
  <c r="E19" i="5"/>
  <c r="E18" i="5"/>
  <c r="D20" i="5"/>
  <c r="D19" i="5"/>
  <c r="D18" i="5"/>
  <c r="C20" i="5"/>
  <c r="C19" i="5"/>
  <c r="C18" i="5"/>
  <c r="B20" i="5"/>
  <c r="B19" i="5"/>
  <c r="B18" i="5"/>
  <c r="E36" i="6"/>
  <c r="E34" i="6"/>
  <c r="D36" i="6"/>
  <c r="D34" i="6"/>
  <c r="C36" i="6"/>
  <c r="C35" i="6"/>
  <c r="C34" i="6"/>
  <c r="B36" i="6"/>
  <c r="B34" i="6"/>
  <c r="D20" i="6"/>
  <c r="C20" i="6"/>
  <c r="D18" i="6"/>
  <c r="D19" i="6"/>
  <c r="E20" i="6"/>
  <c r="E19" i="6"/>
  <c r="E18" i="6"/>
  <c r="C19" i="6"/>
  <c r="C18" i="6"/>
  <c r="B20" i="6"/>
  <c r="B19" i="6"/>
  <c r="B18" i="6"/>
  <c r="E36" i="7"/>
  <c r="E35" i="7"/>
  <c r="E34" i="7"/>
  <c r="D36" i="7"/>
  <c r="D34" i="7"/>
  <c r="C36" i="7"/>
  <c r="C34" i="7"/>
  <c r="B36" i="7"/>
  <c r="B35" i="7"/>
  <c r="B34" i="7"/>
  <c r="B34" i="8"/>
  <c r="E36" i="8"/>
  <c r="E35" i="8"/>
  <c r="E34" i="8"/>
  <c r="D36" i="8"/>
  <c r="D35" i="8"/>
  <c r="D34" i="8"/>
  <c r="C36" i="8"/>
  <c r="C35" i="8"/>
  <c r="C34" i="8"/>
  <c r="B36" i="8"/>
  <c r="B35" i="8"/>
  <c r="E20" i="8"/>
  <c r="E19" i="8"/>
  <c r="E18" i="8"/>
  <c r="D20" i="8"/>
  <c r="D19" i="8"/>
  <c r="D18" i="8"/>
  <c r="C20" i="8"/>
  <c r="C19" i="8"/>
  <c r="C18" i="8"/>
  <c r="B20" i="8"/>
  <c r="B19" i="8"/>
  <c r="B18" i="8"/>
  <c r="B34" i="9"/>
  <c r="E36" i="9"/>
  <c r="E35" i="9"/>
  <c r="E34" i="9"/>
  <c r="D36" i="9"/>
  <c r="D35" i="9"/>
  <c r="D34" i="9"/>
  <c r="C36" i="9"/>
  <c r="C35" i="9"/>
  <c r="C34" i="9"/>
  <c r="B36" i="9"/>
  <c r="B35" i="9"/>
  <c r="E20" i="9"/>
  <c r="E19" i="9"/>
  <c r="E18" i="9"/>
  <c r="D20" i="9"/>
  <c r="D19" i="9"/>
  <c r="D18" i="9"/>
  <c r="C20" i="9"/>
  <c r="C19" i="9"/>
  <c r="C18" i="9"/>
  <c r="B20" i="9"/>
  <c r="B19" i="9"/>
  <c r="B18" i="9"/>
  <c r="F9" i="11" l="1"/>
  <c r="F39" i="11" s="1"/>
  <c r="K32" i="1"/>
  <c r="E31" i="4" l="1"/>
  <c r="E30" i="4"/>
  <c r="E29" i="4"/>
  <c r="E28" i="4"/>
  <c r="E27" i="4"/>
  <c r="E26" i="4"/>
  <c r="E25" i="4"/>
  <c r="D31" i="4"/>
  <c r="D30" i="4"/>
  <c r="D29" i="4"/>
  <c r="D28" i="4"/>
  <c r="D27" i="4"/>
  <c r="D26" i="4"/>
  <c r="D25" i="4"/>
  <c r="C31" i="4"/>
  <c r="C30" i="4"/>
  <c r="C29" i="4"/>
  <c r="C28" i="4"/>
  <c r="C27" i="4"/>
  <c r="C26" i="4"/>
  <c r="C25" i="4"/>
  <c r="B31" i="4"/>
  <c r="B30" i="4"/>
  <c r="B29" i="4"/>
  <c r="B28" i="4"/>
  <c r="B27" i="4"/>
  <c r="B26" i="4"/>
  <c r="B25" i="4"/>
  <c r="E30" i="5"/>
  <c r="E31" i="5"/>
  <c r="E29" i="5"/>
  <c r="E28" i="5"/>
  <c r="E27" i="5"/>
  <c r="E26" i="5"/>
  <c r="E25" i="5"/>
  <c r="D31" i="5"/>
  <c r="D30" i="5"/>
  <c r="D29" i="5"/>
  <c r="D28" i="5"/>
  <c r="D27" i="5"/>
  <c r="D26" i="5"/>
  <c r="D25" i="5"/>
  <c r="C31" i="5"/>
  <c r="C30" i="5"/>
  <c r="C29" i="5"/>
  <c r="C28" i="5"/>
  <c r="C27" i="5"/>
  <c r="C26" i="5"/>
  <c r="C25" i="5"/>
  <c r="B31" i="5"/>
  <c r="B30" i="5"/>
  <c r="B29" i="5"/>
  <c r="B28" i="5"/>
  <c r="B27" i="5"/>
  <c r="B26" i="5"/>
  <c r="B25" i="5"/>
  <c r="E31" i="6"/>
  <c r="E30" i="6"/>
  <c r="E29" i="6"/>
  <c r="E28" i="6"/>
  <c r="E27" i="6"/>
  <c r="E26" i="6"/>
  <c r="E25" i="6"/>
  <c r="D31" i="6"/>
  <c r="D29" i="6"/>
  <c r="D28" i="6"/>
  <c r="D30" i="6"/>
  <c r="D27" i="6"/>
  <c r="D26" i="6"/>
  <c r="D25" i="6"/>
  <c r="C31" i="6"/>
  <c r="C30" i="6"/>
  <c r="C29" i="6"/>
  <c r="C28" i="6"/>
  <c r="C27" i="6"/>
  <c r="C26" i="6"/>
  <c r="C25" i="6"/>
  <c r="B31" i="6"/>
  <c r="B30" i="6"/>
  <c r="B29" i="6"/>
  <c r="B28" i="6"/>
  <c r="B27" i="6"/>
  <c r="B26" i="6"/>
  <c r="B25" i="6"/>
  <c r="E31" i="7"/>
  <c r="E30" i="7"/>
  <c r="E29" i="7"/>
  <c r="E28" i="7"/>
  <c r="E27" i="7"/>
  <c r="E26" i="7"/>
  <c r="E25" i="7"/>
  <c r="D31" i="7"/>
  <c r="D30" i="7"/>
  <c r="D29" i="7"/>
  <c r="D28" i="7"/>
  <c r="D27" i="7"/>
  <c r="D26" i="7"/>
  <c r="D25" i="7"/>
  <c r="C31" i="7"/>
  <c r="C30" i="7"/>
  <c r="C29" i="7"/>
  <c r="C28" i="7"/>
  <c r="C27" i="7"/>
  <c r="C26" i="7"/>
  <c r="C25" i="7"/>
  <c r="B31" i="7"/>
  <c r="B30" i="7"/>
  <c r="B29" i="7"/>
  <c r="B28" i="7"/>
  <c r="B27" i="7"/>
  <c r="B26" i="7"/>
  <c r="B25" i="7"/>
  <c r="D31" i="8"/>
  <c r="D30" i="8"/>
  <c r="C30" i="8"/>
  <c r="E31" i="8"/>
  <c r="E30" i="8"/>
  <c r="E29" i="8"/>
  <c r="E28" i="8"/>
  <c r="E27" i="8"/>
  <c r="E26" i="8"/>
  <c r="E25" i="8"/>
  <c r="D29" i="8"/>
  <c r="D28" i="8"/>
  <c r="D27" i="8"/>
  <c r="D26" i="8"/>
  <c r="D25" i="8"/>
  <c r="C31" i="8"/>
  <c r="C29" i="8"/>
  <c r="C28" i="8"/>
  <c r="C27" i="8"/>
  <c r="C26" i="8"/>
  <c r="C25" i="8"/>
  <c r="B31" i="8"/>
  <c r="B30" i="8"/>
  <c r="B29" i="8"/>
  <c r="B28" i="8"/>
  <c r="B27" i="8"/>
  <c r="B26" i="8"/>
  <c r="B25" i="8"/>
  <c r="E31" i="9"/>
  <c r="E30" i="9"/>
  <c r="E29" i="9"/>
  <c r="E28" i="9"/>
  <c r="E27" i="9"/>
  <c r="E26" i="9"/>
  <c r="E25" i="9"/>
  <c r="D31" i="9"/>
  <c r="D30" i="9"/>
  <c r="D29" i="9"/>
  <c r="D28" i="9"/>
  <c r="D27" i="9"/>
  <c r="D26" i="9"/>
  <c r="D25" i="9"/>
  <c r="C31" i="9"/>
  <c r="C30" i="9"/>
  <c r="C29" i="9"/>
  <c r="C28" i="9"/>
  <c r="C27" i="9"/>
  <c r="C26" i="9"/>
  <c r="C25" i="9"/>
  <c r="B31" i="9"/>
  <c r="B30" i="9"/>
  <c r="B29" i="9"/>
  <c r="B28" i="9"/>
  <c r="B27" i="9"/>
  <c r="B26" i="9"/>
  <c r="B25" i="9"/>
  <c r="E31" i="10"/>
  <c r="E30" i="10"/>
  <c r="E29" i="10"/>
  <c r="E28" i="10"/>
  <c r="E27" i="10"/>
  <c r="E26" i="10"/>
  <c r="E25" i="10"/>
  <c r="D31" i="10"/>
  <c r="D30" i="10"/>
  <c r="D29" i="10"/>
  <c r="D28" i="10"/>
  <c r="D27" i="10"/>
  <c r="D26" i="10"/>
  <c r="D25" i="10"/>
  <c r="C31" i="10"/>
  <c r="C30" i="10"/>
  <c r="C29" i="10"/>
  <c r="C28" i="10"/>
  <c r="C27" i="10"/>
  <c r="C26" i="10"/>
  <c r="C25" i="10"/>
  <c r="B31" i="10"/>
  <c r="B30" i="10"/>
  <c r="B29" i="10"/>
  <c r="B28" i="10"/>
  <c r="B27" i="10"/>
  <c r="B26" i="10"/>
  <c r="B25" i="10"/>
  <c r="D9" i="2"/>
  <c r="E15" i="4" l="1"/>
  <c r="E14" i="4"/>
  <c r="E11" i="4"/>
  <c r="E10" i="4"/>
  <c r="E9" i="4"/>
  <c r="D15" i="4"/>
  <c r="D14" i="4"/>
  <c r="D11" i="4"/>
  <c r="D10" i="4"/>
  <c r="D9" i="4"/>
  <c r="C15" i="4"/>
  <c r="C14" i="4"/>
  <c r="C11" i="4"/>
  <c r="C10" i="4"/>
  <c r="C9" i="4"/>
  <c r="B15" i="4"/>
  <c r="B14" i="4"/>
  <c r="B11" i="4"/>
  <c r="B10" i="4"/>
  <c r="B9" i="4"/>
  <c r="E15" i="5"/>
  <c r="E14" i="5"/>
  <c r="E11" i="5"/>
  <c r="E10" i="5"/>
  <c r="E9" i="5"/>
  <c r="D15" i="5"/>
  <c r="D14" i="5"/>
  <c r="D11" i="5"/>
  <c r="D10" i="5"/>
  <c r="D9" i="5"/>
  <c r="C15" i="5"/>
  <c r="C14" i="5"/>
  <c r="C11" i="5"/>
  <c r="C10" i="5"/>
  <c r="C9" i="5"/>
  <c r="B15" i="5"/>
  <c r="B14" i="5"/>
  <c r="B11" i="5"/>
  <c r="B10" i="5"/>
  <c r="B9" i="5"/>
  <c r="E15" i="6"/>
  <c r="E14" i="6"/>
  <c r="E11" i="6"/>
  <c r="E10" i="6"/>
  <c r="E9" i="6"/>
  <c r="D15" i="6"/>
  <c r="D14" i="6"/>
  <c r="D11" i="6"/>
  <c r="D10" i="6"/>
  <c r="D9" i="6"/>
  <c r="C15" i="6"/>
  <c r="C14" i="6"/>
  <c r="C11" i="6"/>
  <c r="C10" i="6"/>
  <c r="C9" i="6"/>
  <c r="B15" i="6"/>
  <c r="B14" i="6"/>
  <c r="B11" i="6"/>
  <c r="B10" i="6"/>
  <c r="B9" i="6"/>
  <c r="E15" i="7"/>
  <c r="E14" i="7"/>
  <c r="E11" i="7"/>
  <c r="E10" i="7"/>
  <c r="E9" i="7"/>
  <c r="D15" i="7"/>
  <c r="D14" i="7"/>
  <c r="D11" i="7"/>
  <c r="D10" i="7"/>
  <c r="D9" i="7"/>
  <c r="C14" i="7"/>
  <c r="C15" i="7"/>
  <c r="C11" i="7"/>
  <c r="C10" i="7"/>
  <c r="C9" i="7"/>
  <c r="B15" i="7"/>
  <c r="B14" i="7"/>
  <c r="B11" i="7"/>
  <c r="B10" i="7"/>
  <c r="B9" i="7"/>
  <c r="E15" i="8"/>
  <c r="E14" i="8"/>
  <c r="C11" i="8"/>
  <c r="C9" i="8"/>
  <c r="E11" i="8"/>
  <c r="E10" i="8"/>
  <c r="E9" i="8"/>
  <c r="D15" i="8"/>
  <c r="D14" i="8"/>
  <c r="D11" i="8"/>
  <c r="D10" i="8"/>
  <c r="D9" i="8"/>
  <c r="B15" i="8"/>
  <c r="C15" i="8"/>
  <c r="C14" i="8"/>
  <c r="C10" i="8"/>
  <c r="B14" i="8"/>
  <c r="B11" i="8"/>
  <c r="B10" i="8"/>
  <c r="B9" i="8"/>
  <c r="C9" i="9"/>
  <c r="E15" i="9" l="1"/>
  <c r="E14" i="9"/>
  <c r="E11" i="9"/>
  <c r="E10" i="9"/>
  <c r="E9" i="9"/>
  <c r="D15" i="9"/>
  <c r="D14" i="9"/>
  <c r="D11" i="9"/>
  <c r="D10" i="9"/>
  <c r="D9" i="9"/>
  <c r="C15" i="9"/>
  <c r="C14" i="9"/>
  <c r="B11" i="10"/>
  <c r="B9" i="10"/>
  <c r="C11" i="9" l="1"/>
  <c r="C10" i="9"/>
  <c r="B15" i="9"/>
  <c r="B14" i="9"/>
  <c r="B10" i="9"/>
  <c r="B11" i="9"/>
  <c r="B9" i="9"/>
  <c r="E15" i="10" l="1"/>
  <c r="E14" i="10"/>
  <c r="E11" i="10"/>
  <c r="E10" i="10"/>
  <c r="E9" i="10"/>
  <c r="D15" i="10"/>
  <c r="D14" i="10"/>
  <c r="D11" i="10"/>
  <c r="D10" i="10"/>
  <c r="D9" i="10"/>
  <c r="C15" i="10"/>
  <c r="C14" i="10"/>
  <c r="C11" i="10"/>
  <c r="C10" i="10"/>
  <c r="C9" i="10"/>
  <c r="F9" i="10" s="1"/>
  <c r="B15" i="10"/>
  <c r="B14" i="10"/>
  <c r="B12" i="10"/>
  <c r="F12" i="10" s="1"/>
  <c r="B10" i="10"/>
  <c r="F36" i="10"/>
  <c r="F35" i="10"/>
  <c r="F34" i="10"/>
  <c r="E33" i="10"/>
  <c r="D33" i="10"/>
  <c r="C33" i="10"/>
  <c r="B33" i="10"/>
  <c r="F31" i="10"/>
  <c r="F30" i="10"/>
  <c r="F29" i="10"/>
  <c r="F28" i="10"/>
  <c r="F27" i="10"/>
  <c r="F26" i="10"/>
  <c r="F25" i="10"/>
  <c r="E24" i="10"/>
  <c r="D24" i="10"/>
  <c r="C24" i="10"/>
  <c r="B24" i="10"/>
  <c r="F20" i="10"/>
  <c r="F19" i="10"/>
  <c r="F18" i="10"/>
  <c r="E17" i="10"/>
  <c r="D17" i="10"/>
  <c r="C17" i="10"/>
  <c r="B17" i="10"/>
  <c r="F13" i="10"/>
  <c r="F36" i="9"/>
  <c r="F35" i="9"/>
  <c r="F34" i="9"/>
  <c r="E33" i="9"/>
  <c r="D33" i="9"/>
  <c r="C33" i="9"/>
  <c r="B33" i="9"/>
  <c r="F31" i="9"/>
  <c r="F30" i="9"/>
  <c r="F29" i="9"/>
  <c r="F28" i="9"/>
  <c r="F27" i="9"/>
  <c r="F26" i="9"/>
  <c r="F25" i="9"/>
  <c r="E24" i="9"/>
  <c r="D24" i="9"/>
  <c r="C24" i="9"/>
  <c r="B24" i="9"/>
  <c r="F20" i="9"/>
  <c r="F19" i="9"/>
  <c r="F18" i="9"/>
  <c r="E17" i="9"/>
  <c r="D17" i="9"/>
  <c r="C17" i="9"/>
  <c r="B17" i="9"/>
  <c r="F15" i="9"/>
  <c r="F14" i="9"/>
  <c r="F13" i="9"/>
  <c r="F12" i="9"/>
  <c r="F11" i="9"/>
  <c r="F10" i="9"/>
  <c r="F9" i="9"/>
  <c r="E8" i="9"/>
  <c r="D8" i="9"/>
  <c r="C8" i="9"/>
  <c r="B8" i="9"/>
  <c r="F36" i="8"/>
  <c r="F35" i="8"/>
  <c r="F34" i="8"/>
  <c r="E33" i="8"/>
  <c r="D33" i="8"/>
  <c r="C33" i="8"/>
  <c r="B33" i="8"/>
  <c r="F31" i="8"/>
  <c r="F30" i="8"/>
  <c r="F29" i="8"/>
  <c r="F28" i="8"/>
  <c r="F27" i="8"/>
  <c r="F26" i="8"/>
  <c r="F25" i="8"/>
  <c r="E24" i="8"/>
  <c r="D24" i="8"/>
  <c r="C24" i="8"/>
  <c r="B24" i="8"/>
  <c r="F20" i="8"/>
  <c r="F19" i="8"/>
  <c r="F18" i="8"/>
  <c r="E17" i="8"/>
  <c r="D17" i="8"/>
  <c r="C17" i="8"/>
  <c r="B17" i="8"/>
  <c r="F15" i="8"/>
  <c r="F14" i="8"/>
  <c r="F13" i="8"/>
  <c r="F12" i="8"/>
  <c r="F11" i="8"/>
  <c r="F10" i="8"/>
  <c r="F9" i="8"/>
  <c r="E8" i="8"/>
  <c r="D8" i="8"/>
  <c r="C8" i="8"/>
  <c r="B8" i="8"/>
  <c r="F36" i="7"/>
  <c r="F35" i="7"/>
  <c r="F34" i="7"/>
  <c r="E33" i="7"/>
  <c r="D33" i="7"/>
  <c r="C33" i="7"/>
  <c r="B33" i="7"/>
  <c r="F31" i="7"/>
  <c r="F30" i="7"/>
  <c r="F29" i="7"/>
  <c r="F28" i="7"/>
  <c r="F27" i="7"/>
  <c r="F26" i="7"/>
  <c r="F25" i="7"/>
  <c r="E24" i="7"/>
  <c r="D24" i="7"/>
  <c r="C24" i="7"/>
  <c r="B24" i="7"/>
  <c r="F20" i="7"/>
  <c r="F19" i="7"/>
  <c r="F18" i="7"/>
  <c r="E17" i="7"/>
  <c r="D17" i="7"/>
  <c r="C17" i="7"/>
  <c r="B17" i="7"/>
  <c r="F15" i="7"/>
  <c r="F14" i="7"/>
  <c r="F13" i="7"/>
  <c r="F12" i="7"/>
  <c r="F11" i="7"/>
  <c r="F10" i="7"/>
  <c r="F9" i="7"/>
  <c r="E8" i="7"/>
  <c r="D8" i="7"/>
  <c r="C8" i="7"/>
  <c r="B8" i="7"/>
  <c r="F36" i="6"/>
  <c r="F35" i="6"/>
  <c r="F34" i="6"/>
  <c r="E33" i="6"/>
  <c r="D33" i="6"/>
  <c r="C33" i="6"/>
  <c r="B33" i="6"/>
  <c r="F31" i="6"/>
  <c r="F30" i="6"/>
  <c r="F29" i="6"/>
  <c r="F28" i="6"/>
  <c r="F27" i="6"/>
  <c r="F26" i="6"/>
  <c r="F25" i="6"/>
  <c r="E24" i="6"/>
  <c r="D24" i="6"/>
  <c r="C24" i="6"/>
  <c r="B24" i="6"/>
  <c r="F20" i="6"/>
  <c r="F19" i="6"/>
  <c r="F18" i="6"/>
  <c r="E17" i="6"/>
  <c r="D17" i="6"/>
  <c r="C17" i="6"/>
  <c r="B17" i="6"/>
  <c r="F15" i="6"/>
  <c r="F14" i="6"/>
  <c r="F13" i="6"/>
  <c r="F12" i="6"/>
  <c r="F11" i="6"/>
  <c r="F10" i="6"/>
  <c r="F9" i="6"/>
  <c r="E8" i="6"/>
  <c r="D8" i="6"/>
  <c r="C8" i="6"/>
  <c r="B8" i="6"/>
  <c r="F36" i="5"/>
  <c r="F35" i="5"/>
  <c r="F34" i="5"/>
  <c r="E33" i="5"/>
  <c r="D33" i="5"/>
  <c r="C33" i="5"/>
  <c r="B33" i="5"/>
  <c r="F31" i="5"/>
  <c r="F30" i="5"/>
  <c r="F29" i="5"/>
  <c r="F28" i="5"/>
  <c r="F27" i="5"/>
  <c r="F26" i="5"/>
  <c r="F25" i="5"/>
  <c r="E24" i="5"/>
  <c r="D24" i="5"/>
  <c r="C24" i="5"/>
  <c r="B24" i="5"/>
  <c r="F20" i="5"/>
  <c r="F19" i="5"/>
  <c r="F18" i="5"/>
  <c r="E17" i="5"/>
  <c r="D17" i="5"/>
  <c r="C17" i="5"/>
  <c r="B17" i="5"/>
  <c r="F15" i="5"/>
  <c r="F14" i="5"/>
  <c r="F13" i="5"/>
  <c r="F12" i="5"/>
  <c r="F11" i="5"/>
  <c r="F10" i="5"/>
  <c r="F9" i="5"/>
  <c r="E8" i="5"/>
  <c r="D8" i="5"/>
  <c r="C8" i="5"/>
  <c r="B8" i="5"/>
  <c r="F36" i="4"/>
  <c r="F35" i="4"/>
  <c r="F34" i="4"/>
  <c r="E33" i="4"/>
  <c r="D33" i="4"/>
  <c r="C33" i="4"/>
  <c r="B33" i="4"/>
  <c r="F31" i="4"/>
  <c r="F30" i="4"/>
  <c r="F29" i="4"/>
  <c r="F28" i="4"/>
  <c r="F27" i="4"/>
  <c r="F26" i="4"/>
  <c r="F25" i="4"/>
  <c r="E24" i="4"/>
  <c r="D24" i="4"/>
  <c r="C24" i="4"/>
  <c r="B24" i="4"/>
  <c r="F20" i="4"/>
  <c r="F19" i="4"/>
  <c r="F18" i="4"/>
  <c r="E17" i="4"/>
  <c r="D17" i="4"/>
  <c r="C17" i="4"/>
  <c r="B17" i="4"/>
  <c r="F15" i="4"/>
  <c r="F14" i="4"/>
  <c r="F13" i="4"/>
  <c r="F12" i="4"/>
  <c r="F11" i="4"/>
  <c r="F10" i="4"/>
  <c r="F9" i="4"/>
  <c r="E8" i="4"/>
  <c r="D8" i="4"/>
  <c r="C8" i="4"/>
  <c r="B8" i="4"/>
  <c r="E8" i="2"/>
  <c r="E38" i="2" s="1"/>
  <c r="D8" i="2"/>
  <c r="C8" i="2"/>
  <c r="B8" i="2"/>
  <c r="E38" i="7" l="1"/>
  <c r="E8" i="10"/>
  <c r="E38" i="5"/>
  <c r="D38" i="5"/>
  <c r="F24" i="5"/>
  <c r="C38" i="5"/>
  <c r="B38" i="5"/>
  <c r="E38" i="6"/>
  <c r="F17" i="7"/>
  <c r="F24" i="7"/>
  <c r="B38" i="7"/>
  <c r="F17" i="8"/>
  <c r="E38" i="8"/>
  <c r="C38" i="9"/>
  <c r="F33" i="9"/>
  <c r="B38" i="8"/>
  <c r="F17" i="9"/>
  <c r="E38" i="9"/>
  <c r="D38" i="9"/>
  <c r="F24" i="9"/>
  <c r="B38" i="9"/>
  <c r="F10" i="10"/>
  <c r="E38" i="10"/>
  <c r="F24" i="10"/>
  <c r="D38" i="4"/>
  <c r="C38" i="4"/>
  <c r="F33" i="4"/>
  <c r="F17" i="5"/>
  <c r="F33" i="5"/>
  <c r="D38" i="6"/>
  <c r="F24" i="6"/>
  <c r="B38" i="6"/>
  <c r="F33" i="6"/>
  <c r="C38" i="6"/>
  <c r="F17" i="6"/>
  <c r="C38" i="7"/>
  <c r="D38" i="7"/>
  <c r="F33" i="7"/>
  <c r="D38" i="8"/>
  <c r="F24" i="8"/>
  <c r="C38" i="8"/>
  <c r="F33" i="8"/>
  <c r="F17" i="10"/>
  <c r="F14" i="10"/>
  <c r="F33" i="10"/>
  <c r="D8" i="10"/>
  <c r="D38" i="10" s="1"/>
  <c r="F15" i="10"/>
  <c r="F11" i="10"/>
  <c r="C8" i="10"/>
  <c r="C38" i="10" s="1"/>
  <c r="B8" i="10"/>
  <c r="B38" i="10" s="1"/>
  <c r="F8" i="9"/>
  <c r="F8" i="8"/>
  <c r="F8" i="7"/>
  <c r="F8" i="6"/>
  <c r="F8" i="5"/>
  <c r="D38" i="2"/>
  <c r="F24" i="4"/>
  <c r="F17" i="4"/>
  <c r="B38" i="4"/>
  <c r="E38" i="4"/>
  <c r="F8" i="4"/>
  <c r="B38" i="2"/>
  <c r="C38" i="2"/>
  <c r="F8" i="2"/>
  <c r="F38" i="4" l="1"/>
  <c r="F38" i="5"/>
  <c r="F38" i="7"/>
  <c r="F38" i="8"/>
  <c r="F38" i="9"/>
  <c r="F38" i="6"/>
  <c r="F8" i="10"/>
  <c r="F38" i="10" s="1"/>
  <c r="F38" i="2"/>
  <c r="K7" i="1" l="1"/>
  <c r="K35" i="1" l="1"/>
  <c r="K34" i="1"/>
  <c r="K33" i="1"/>
  <c r="K27" i="1"/>
  <c r="K25" i="1"/>
  <c r="K24" i="1"/>
  <c r="K11" i="1"/>
  <c r="K12" i="1"/>
  <c r="K26" i="1" l="1"/>
  <c r="K30" i="1"/>
  <c r="K19" i="1"/>
  <c r="K17" i="1"/>
  <c r="K28" i="1"/>
  <c r="K29" i="1"/>
  <c r="K9" i="1"/>
  <c r="K13" i="1"/>
  <c r="K10" i="1"/>
  <c r="K14" i="1"/>
  <c r="K18" i="1"/>
  <c r="K8" i="1"/>
  <c r="K16" i="1" l="1"/>
  <c r="K23" i="1"/>
  <c r="K37" i="1" l="1"/>
</calcChain>
</file>

<file path=xl/sharedStrings.xml><?xml version="1.0" encoding="utf-8"?>
<sst xmlns="http://schemas.openxmlformats.org/spreadsheetml/2006/main" count="345" uniqueCount="41">
  <si>
    <t>ITEM</t>
  </si>
  <si>
    <t>1st Qrt</t>
  </si>
  <si>
    <t>2nd Qrt</t>
  </si>
  <si>
    <t>3rd Qrt</t>
  </si>
  <si>
    <t>4th Qrt</t>
  </si>
  <si>
    <t>Y-T-D</t>
  </si>
  <si>
    <t>ACTIVITY AT SANGSTERS INT'L AIRPORT</t>
  </si>
  <si>
    <t>TOTAL PASSENGER MOVEMENT  (NO.)</t>
  </si>
  <si>
    <t>PASSENGERS DISEMBARKED (NO.)</t>
  </si>
  <si>
    <t>PASSENGERS EMBARKED (NO.)</t>
  </si>
  <si>
    <t>PASSENGERS INTRANSIT (NO.)</t>
  </si>
  <si>
    <t>FREIGHT LANDED (TONNES)</t>
  </si>
  <si>
    <t>FREIGHT LOADED (TONNES)</t>
  </si>
  <si>
    <t>MAIL LOADED        (TONNES)</t>
  </si>
  <si>
    <t>MAIL LANDED       (TONNES)</t>
  </si>
  <si>
    <t>TOTAL MOVEMENT OF AIRCRAFT (NO.)</t>
  </si>
  <si>
    <t>INTERNATIONAL SCHEDULED (NO.)</t>
  </si>
  <si>
    <t>INTERNATIONAL NON-SCHEDULED (NO.)</t>
  </si>
  <si>
    <t>DOMESTIC AND OTHER (NO)</t>
  </si>
  <si>
    <t>ACTIVITY AT NORMAN MANLEY INT'L AIRPORT</t>
  </si>
  <si>
    <t>TOTAL PASSENGER MOVEMENTS</t>
  </si>
  <si>
    <t>TOTAL</t>
  </si>
  <si>
    <t>AIRCRAFT OPERATIONS 2018</t>
  </si>
  <si>
    <t>JANUARY - DECEMBER 2018</t>
  </si>
  <si>
    <t>JANUARY - DECEMBER 2017</t>
  </si>
  <si>
    <t>AIRCRAFT OPERATIONS 2017</t>
  </si>
  <si>
    <t>JANUARY - DECEMBER 2016</t>
  </si>
  <si>
    <t>AIRCRAFT OPERATIONS 2016</t>
  </si>
  <si>
    <t>JANUARY - DECEMBER 2015</t>
  </si>
  <si>
    <t>AIRCRAFT OPERATIONS 2015</t>
  </si>
  <si>
    <t>JANUARY - DECEMBER 2014</t>
  </si>
  <si>
    <t>AIRCRAFT OPERATIONS 2014</t>
  </si>
  <si>
    <t>AIRCRAFT OPERATIONS 2013</t>
  </si>
  <si>
    <t>JANUARY - DECEMBER 2013</t>
  </si>
  <si>
    <t>AIRCRAFT OPERATIONS 2012</t>
  </si>
  <si>
    <t>AIRCRAFT OPERATIONS 2011</t>
  </si>
  <si>
    <t>JANUARY - DECEMBER 2011</t>
  </si>
  <si>
    <t>JANUARY - DECEMBER 2012</t>
  </si>
  <si>
    <t>AIRCRAFT OPERATIONS 2011-2019</t>
  </si>
  <si>
    <t>AIRCRAFT OPERATIONS 2019</t>
  </si>
  <si>
    <t>JANUARY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</si>
</sst>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right" vertical="center"/>
    </xf>
    <xf numFmtId="1" fontId="0" fillId="0" borderId="0" xfId="1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0" xfId="0" applyNumberFormat="1"/>
    <xf numFmtId="10" fontId="0" fillId="0" borderId="0" xfId="2" applyNumberFormat="1" applyFont="1"/>
    <xf numFmtId="43" fontId="0" fillId="0" borderId="0" xfId="1" applyFont="1"/>
    <xf numFmtId="0" fontId="5" fillId="3" borderId="4" xfId="0" applyFont="1" applyFill="1" applyBorder="1"/>
    <xf numFmtId="164" fontId="4" fillId="3" borderId="7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/>
    </xf>
    <xf numFmtId="0" fontId="2" fillId="4" borderId="3" xfId="0" applyFont="1" applyFill="1" applyBorder="1"/>
    <xf numFmtId="164" fontId="4" fillId="4" borderId="0" xfId="1" applyNumberFormat="1" applyFont="1" applyFill="1" applyBorder="1" applyAlignment="1">
      <alignment horizontal="right" vertical="center"/>
    </xf>
    <xf numFmtId="164" fontId="4" fillId="4" borderId="5" xfId="1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7" fillId="0" borderId="3" xfId="0" applyFont="1" applyBorder="1"/>
    <xf numFmtId="0" fontId="6" fillId="0" borderId="3" xfId="0" applyFont="1" applyBorder="1"/>
    <xf numFmtId="0" fontId="0" fillId="0" borderId="3" xfId="0" applyFill="1" applyBorder="1"/>
    <xf numFmtId="3" fontId="0" fillId="0" borderId="0" xfId="0" applyNumberForma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4" fillId="6" borderId="3" xfId="0" applyFont="1" applyFill="1" applyBorder="1"/>
    <xf numFmtId="164" fontId="4" fillId="6" borderId="0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2" fillId="6" borderId="3" xfId="0" applyFont="1" applyFill="1" applyBorder="1"/>
    <xf numFmtId="0" fontId="9" fillId="0" borderId="0" xfId="0" applyFont="1"/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Reports/Aerodrome%20Control%20Stats%20-1st%20to%204th%20quarter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uarter "/>
      <sheetName val="2nd quarter"/>
      <sheetName val="3rd quarter "/>
      <sheetName val="4th quarter "/>
      <sheetName val="Total"/>
    </sheetNames>
    <sheetDataSet>
      <sheetData sheetId="0" refreshError="1"/>
      <sheetData sheetId="1" refreshError="1"/>
      <sheetData sheetId="2" refreshError="1"/>
      <sheetData sheetId="3">
        <row r="28">
          <cell r="E28">
            <v>206424</v>
          </cell>
        </row>
        <row r="29">
          <cell r="E29">
            <v>235030</v>
          </cell>
        </row>
        <row r="39">
          <cell r="E39">
            <v>513316</v>
          </cell>
        </row>
        <row r="40">
          <cell r="E40">
            <v>572165</v>
          </cell>
        </row>
        <row r="41">
          <cell r="E41">
            <v>13444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B9" sqref="B9"/>
    </sheetView>
  </sheetViews>
  <sheetFormatPr defaultRowHeight="14.5" x14ac:dyDescent="0.35"/>
  <cols>
    <col min="1" max="1" width="42.81640625" bestFit="1" customWidth="1"/>
    <col min="2" max="2" width="15.26953125" customWidth="1"/>
    <col min="3" max="3" width="15.26953125" style="3" customWidth="1"/>
    <col min="4" max="11" width="15.453125" style="9" customWidth="1"/>
    <col min="13" max="13" width="13.26953125" bestFit="1" customWidth="1"/>
  </cols>
  <sheetData>
    <row r="1" spans="1:11" ht="21" x14ac:dyDescent="0.5">
      <c r="A1" s="45" t="s">
        <v>38</v>
      </c>
      <c r="B1" s="45"/>
    </row>
    <row r="2" spans="1:11" ht="15" thickBot="1" x14ac:dyDescent="0.4">
      <c r="K2" s="10"/>
    </row>
    <row r="3" spans="1:11" s="1" customFormat="1" ht="15" thickBot="1" x14ac:dyDescent="0.4">
      <c r="A3" s="38" t="s">
        <v>0</v>
      </c>
      <c r="B3" s="39">
        <v>2019</v>
      </c>
      <c r="C3" s="39">
        <v>2018</v>
      </c>
      <c r="D3" s="39">
        <v>2017</v>
      </c>
      <c r="E3" s="39">
        <v>2016</v>
      </c>
      <c r="F3" s="39">
        <v>2015</v>
      </c>
      <c r="G3" s="39">
        <v>2014</v>
      </c>
      <c r="H3" s="39">
        <v>2013</v>
      </c>
      <c r="I3" s="39">
        <v>2012</v>
      </c>
      <c r="J3" s="39">
        <v>2011</v>
      </c>
      <c r="K3" s="40" t="s">
        <v>21</v>
      </c>
    </row>
    <row r="4" spans="1:11" x14ac:dyDescent="0.35">
      <c r="A4" s="8"/>
      <c r="B4" s="7"/>
      <c r="C4" s="7"/>
      <c r="D4" s="10"/>
      <c r="E4" s="10"/>
      <c r="F4" s="10"/>
      <c r="G4" s="10"/>
      <c r="H4" s="10"/>
      <c r="I4" s="10"/>
      <c r="J4" s="10"/>
      <c r="K4" s="13"/>
    </row>
    <row r="5" spans="1:11" x14ac:dyDescent="0.35">
      <c r="A5" s="32" t="s">
        <v>6</v>
      </c>
      <c r="B5" s="7"/>
      <c r="C5" s="7"/>
      <c r="D5" s="10"/>
      <c r="E5" s="10"/>
      <c r="F5" s="10"/>
      <c r="G5" s="10"/>
      <c r="H5" s="10"/>
      <c r="I5" s="10"/>
      <c r="J5" s="10"/>
      <c r="K5" s="13"/>
    </row>
    <row r="6" spans="1:11" x14ac:dyDescent="0.35">
      <c r="A6" s="8"/>
      <c r="B6" s="7"/>
      <c r="C6" s="7"/>
      <c r="D6" s="10"/>
      <c r="E6" s="10"/>
      <c r="F6" s="10"/>
      <c r="G6" s="10"/>
      <c r="H6" s="10"/>
      <c r="I6" s="10"/>
      <c r="J6" s="10"/>
      <c r="K6" s="13"/>
    </row>
    <row r="7" spans="1:11" s="4" customFormat="1" x14ac:dyDescent="0.35">
      <c r="A7" s="41" t="s">
        <v>7</v>
      </c>
      <c r="B7" s="42">
        <v>4766264</v>
      </c>
      <c r="C7" s="42">
        <f>SUM(C8:C10)</f>
        <v>4557818</v>
      </c>
      <c r="D7" s="42">
        <f t="shared" ref="D7:J7" si="0">SUM(D8:D10)</f>
        <v>4284508</v>
      </c>
      <c r="E7" s="42">
        <f t="shared" si="0"/>
        <v>3952450</v>
      </c>
      <c r="F7" s="42">
        <f t="shared" si="0"/>
        <v>3800615</v>
      </c>
      <c r="G7" s="42">
        <f t="shared" si="0"/>
        <v>3633630</v>
      </c>
      <c r="H7" s="42">
        <f t="shared" si="0"/>
        <v>3482328</v>
      </c>
      <c r="I7" s="42">
        <f t="shared" si="0"/>
        <v>3377763</v>
      </c>
      <c r="J7" s="42">
        <f t="shared" si="0"/>
        <v>3310354</v>
      </c>
      <c r="K7" s="43">
        <f t="shared" ref="K7:K14" si="1">SUM(C7:J7)</f>
        <v>30399466</v>
      </c>
    </row>
    <row r="8" spans="1:11" x14ac:dyDescent="0.35">
      <c r="A8" s="8" t="s">
        <v>8</v>
      </c>
      <c r="B8" s="16">
        <v>2349191</v>
      </c>
      <c r="C8" s="16">
        <v>2256858</v>
      </c>
      <c r="D8" s="17">
        <v>2108235</v>
      </c>
      <c r="E8" s="18">
        <v>1941865</v>
      </c>
      <c r="F8" s="18">
        <v>1862682</v>
      </c>
      <c r="G8" s="18">
        <v>1787000</v>
      </c>
      <c r="H8" s="18">
        <v>1702389</v>
      </c>
      <c r="I8" s="18">
        <v>1648619</v>
      </c>
      <c r="J8" s="18">
        <v>1606341</v>
      </c>
      <c r="K8" s="19">
        <f t="shared" si="1"/>
        <v>14913989</v>
      </c>
    </row>
    <row r="9" spans="1:11" x14ac:dyDescent="0.35">
      <c r="A9" s="8" t="s">
        <v>9</v>
      </c>
      <c r="B9" s="16">
        <v>2357817</v>
      </c>
      <c r="C9" s="16">
        <v>2244911</v>
      </c>
      <c r="D9" s="17">
        <v>2116463</v>
      </c>
      <c r="E9" s="18">
        <v>1959391</v>
      </c>
      <c r="F9" s="18">
        <v>1877219</v>
      </c>
      <c r="G9" s="18">
        <v>1796228</v>
      </c>
      <c r="H9" s="18">
        <v>1709342</v>
      </c>
      <c r="I9" s="18">
        <v>1629440</v>
      </c>
      <c r="J9" s="18">
        <v>1613656</v>
      </c>
      <c r="K9" s="19">
        <f t="shared" si="1"/>
        <v>14946650</v>
      </c>
    </row>
    <row r="10" spans="1:11" x14ac:dyDescent="0.35">
      <c r="A10" s="8" t="s">
        <v>10</v>
      </c>
      <c r="B10" s="16">
        <v>59256</v>
      </c>
      <c r="C10" s="16">
        <v>56049</v>
      </c>
      <c r="D10" s="17">
        <v>59810</v>
      </c>
      <c r="E10" s="18">
        <v>51194</v>
      </c>
      <c r="F10" s="18">
        <v>60714</v>
      </c>
      <c r="G10" s="18">
        <v>50402</v>
      </c>
      <c r="H10" s="18">
        <v>70597</v>
      </c>
      <c r="I10" s="18">
        <v>99704</v>
      </c>
      <c r="J10" s="18">
        <v>90357</v>
      </c>
      <c r="K10" s="19">
        <f t="shared" si="1"/>
        <v>538827</v>
      </c>
    </row>
    <row r="11" spans="1:11" x14ac:dyDescent="0.35">
      <c r="A11" s="8" t="s">
        <v>14</v>
      </c>
      <c r="B11" s="14">
        <v>0</v>
      </c>
      <c r="C11" s="14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9">
        <f t="shared" si="1"/>
        <v>0</v>
      </c>
    </row>
    <row r="12" spans="1:11" x14ac:dyDescent="0.35">
      <c r="A12" s="8" t="s">
        <v>13</v>
      </c>
      <c r="B12" s="14">
        <v>0</v>
      </c>
      <c r="C12" s="14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9">
        <f t="shared" si="1"/>
        <v>0</v>
      </c>
    </row>
    <row r="13" spans="1:11" x14ac:dyDescent="0.35">
      <c r="A13" s="8" t="s">
        <v>11</v>
      </c>
      <c r="B13" s="16">
        <v>1214</v>
      </c>
      <c r="C13" s="16">
        <v>1035.3129999999999</v>
      </c>
      <c r="D13" s="18">
        <v>997</v>
      </c>
      <c r="E13" s="18">
        <v>920</v>
      </c>
      <c r="F13" s="18">
        <v>974</v>
      </c>
      <c r="G13" s="18">
        <v>860</v>
      </c>
      <c r="H13" s="18">
        <v>928</v>
      </c>
      <c r="I13" s="18">
        <v>2098.08</v>
      </c>
      <c r="J13" s="18">
        <v>1158.33</v>
      </c>
      <c r="K13" s="19">
        <f t="shared" si="1"/>
        <v>8970.723</v>
      </c>
    </row>
    <row r="14" spans="1:11" x14ac:dyDescent="0.35">
      <c r="A14" s="8" t="s">
        <v>12</v>
      </c>
      <c r="B14" s="16">
        <v>5919</v>
      </c>
      <c r="C14" s="16">
        <v>6442.1019999999999</v>
      </c>
      <c r="D14" s="18">
        <v>5905</v>
      </c>
      <c r="E14" s="18">
        <v>5983</v>
      </c>
      <c r="F14" s="18">
        <v>5553</v>
      </c>
      <c r="G14" s="18">
        <v>5400</v>
      </c>
      <c r="H14" s="18">
        <v>4641</v>
      </c>
      <c r="I14" s="18">
        <v>3265.81</v>
      </c>
      <c r="J14" s="18">
        <v>3612.46</v>
      </c>
      <c r="K14" s="19">
        <f t="shared" si="1"/>
        <v>40802.371999999996</v>
      </c>
    </row>
    <row r="15" spans="1:11" x14ac:dyDescent="0.35">
      <c r="A15" s="8"/>
      <c r="B15" s="20"/>
      <c r="C15" s="20"/>
      <c r="D15" s="18"/>
      <c r="E15" s="18"/>
      <c r="F15" s="18"/>
      <c r="G15" s="18"/>
      <c r="H15" s="18"/>
      <c r="I15" s="18"/>
      <c r="J15" s="18"/>
      <c r="K15" s="21"/>
    </row>
    <row r="16" spans="1:11" s="1" customFormat="1" x14ac:dyDescent="0.35">
      <c r="A16" s="44" t="s">
        <v>15</v>
      </c>
      <c r="B16" s="42">
        <v>42862</v>
      </c>
      <c r="C16" s="42">
        <f>SUM(C17:C19)</f>
        <v>41809</v>
      </c>
      <c r="D16" s="42">
        <f t="shared" ref="D16:J16" si="2">SUM(D17:D19)</f>
        <v>41520</v>
      </c>
      <c r="E16" s="42">
        <f t="shared" si="2"/>
        <v>41451</v>
      </c>
      <c r="F16" s="42">
        <f t="shared" si="2"/>
        <v>42547</v>
      </c>
      <c r="G16" s="42">
        <f t="shared" si="2"/>
        <v>41142</v>
      </c>
      <c r="H16" s="42">
        <f t="shared" si="2"/>
        <v>39742</v>
      </c>
      <c r="I16" s="42">
        <f t="shared" si="2"/>
        <v>40686</v>
      </c>
      <c r="J16" s="42">
        <f t="shared" si="2"/>
        <v>40067</v>
      </c>
      <c r="K16" s="43">
        <f>SUM(C16:J16)</f>
        <v>328964</v>
      </c>
    </row>
    <row r="17" spans="1:13" x14ac:dyDescent="0.35">
      <c r="A17" s="34" t="s">
        <v>16</v>
      </c>
      <c r="B17" s="35">
        <v>26145</v>
      </c>
      <c r="C17" s="35">
        <v>25740</v>
      </c>
      <c r="D17" s="36">
        <v>26216</v>
      </c>
      <c r="E17" s="36">
        <v>28497</v>
      </c>
      <c r="F17" s="36">
        <v>27929</v>
      </c>
      <c r="G17" s="36">
        <v>28346</v>
      </c>
      <c r="H17" s="36">
        <v>26788</v>
      </c>
      <c r="I17" s="36">
        <v>25481</v>
      </c>
      <c r="J17" s="36">
        <v>23155</v>
      </c>
      <c r="K17" s="37">
        <f>SUM(C17:J17)</f>
        <v>212152</v>
      </c>
      <c r="M17" s="24"/>
    </row>
    <row r="18" spans="1:13" x14ac:dyDescent="0.35">
      <c r="A18" s="8" t="s">
        <v>17</v>
      </c>
      <c r="B18" s="16">
        <v>6248</v>
      </c>
      <c r="C18" s="16">
        <v>6246</v>
      </c>
      <c r="D18" s="18">
        <v>4105</v>
      </c>
      <c r="E18" s="18">
        <v>742</v>
      </c>
      <c r="F18" s="18">
        <v>429</v>
      </c>
      <c r="G18" s="18">
        <v>900</v>
      </c>
      <c r="H18" s="18">
        <v>892</v>
      </c>
      <c r="I18" s="18">
        <v>1173</v>
      </c>
      <c r="J18" s="18">
        <v>1696</v>
      </c>
      <c r="K18" s="19">
        <f>SUM(C18:J18)</f>
        <v>16183</v>
      </c>
    </row>
    <row r="19" spans="1:13" x14ac:dyDescent="0.35">
      <c r="A19" s="8" t="s">
        <v>18</v>
      </c>
      <c r="B19" s="16">
        <v>10469</v>
      </c>
      <c r="C19" s="16">
        <v>9823</v>
      </c>
      <c r="D19" s="18">
        <v>11199</v>
      </c>
      <c r="E19" s="18">
        <v>12212</v>
      </c>
      <c r="F19" s="18">
        <v>14189</v>
      </c>
      <c r="G19" s="18">
        <v>11896</v>
      </c>
      <c r="H19" s="18">
        <v>12062</v>
      </c>
      <c r="I19" s="18">
        <v>14032</v>
      </c>
      <c r="J19" s="18">
        <f>7046+271+7899</f>
        <v>15216</v>
      </c>
      <c r="K19" s="19">
        <f>SUM(C19:J19)</f>
        <v>100629</v>
      </c>
    </row>
    <row r="20" spans="1:13" x14ac:dyDescent="0.35">
      <c r="A20" s="8"/>
      <c r="B20" s="20"/>
      <c r="C20" s="20"/>
      <c r="D20" s="18"/>
      <c r="E20" s="18"/>
      <c r="F20" s="18"/>
      <c r="G20" s="18"/>
      <c r="H20" s="18"/>
      <c r="I20" s="18"/>
      <c r="J20" s="18"/>
      <c r="K20" s="21"/>
    </row>
    <row r="21" spans="1:13" x14ac:dyDescent="0.35">
      <c r="A21" s="32" t="s">
        <v>19</v>
      </c>
      <c r="B21" s="20"/>
      <c r="C21" s="20"/>
      <c r="D21" s="18"/>
      <c r="E21" s="18"/>
      <c r="F21" s="18"/>
      <c r="G21" s="18"/>
      <c r="H21" s="18"/>
      <c r="I21" s="18"/>
      <c r="J21" s="18"/>
      <c r="K21" s="21"/>
    </row>
    <row r="22" spans="1:13" x14ac:dyDescent="0.35">
      <c r="A22" s="33"/>
      <c r="B22" s="20"/>
      <c r="C22" s="20"/>
      <c r="D22" s="18"/>
      <c r="E22" s="18"/>
      <c r="F22" s="18"/>
      <c r="G22" s="18"/>
      <c r="H22" s="18"/>
      <c r="I22" s="18"/>
      <c r="J22" s="18"/>
      <c r="K22" s="21"/>
    </row>
    <row r="23" spans="1:13" x14ac:dyDescent="0.35">
      <c r="A23" s="41" t="s">
        <v>7</v>
      </c>
      <c r="B23" s="42">
        <v>1854937</v>
      </c>
      <c r="C23" s="42">
        <f>SUM(C24:C26)</f>
        <v>1756988.17</v>
      </c>
      <c r="D23" s="42">
        <f t="shared" ref="D23:J23" si="3">SUM(D24:D26)</f>
        <v>1641432</v>
      </c>
      <c r="E23" s="42">
        <f t="shared" si="3"/>
        <v>1594189</v>
      </c>
      <c r="F23" s="42">
        <f t="shared" si="3"/>
        <v>1437752</v>
      </c>
      <c r="G23" s="42">
        <f t="shared" si="3"/>
        <v>1455916</v>
      </c>
      <c r="H23" s="42">
        <f t="shared" si="3"/>
        <v>1372759</v>
      </c>
      <c r="I23" s="42">
        <f t="shared" si="3"/>
        <v>1476680</v>
      </c>
      <c r="J23" s="42">
        <f t="shared" si="3"/>
        <v>1453533</v>
      </c>
      <c r="K23" s="43">
        <f t="shared" ref="K23:K30" si="4">SUM(C23:J23)</f>
        <v>12189249.17</v>
      </c>
    </row>
    <row r="24" spans="1:13" x14ac:dyDescent="0.35">
      <c r="A24" s="8" t="s">
        <v>8</v>
      </c>
      <c r="B24" s="16">
        <v>906715</v>
      </c>
      <c r="C24" s="16">
        <v>870142</v>
      </c>
      <c r="D24" s="18">
        <v>786237</v>
      </c>
      <c r="E24" s="18">
        <v>765653</v>
      </c>
      <c r="F24" s="18">
        <v>735215</v>
      </c>
      <c r="G24" s="18">
        <v>695368</v>
      </c>
      <c r="H24" s="18">
        <v>664729</v>
      </c>
      <c r="I24" s="18">
        <v>720339</v>
      </c>
      <c r="J24" s="18">
        <v>708487</v>
      </c>
      <c r="K24" s="19">
        <f t="shared" si="4"/>
        <v>5946170</v>
      </c>
    </row>
    <row r="25" spans="1:13" x14ac:dyDescent="0.35">
      <c r="A25" s="8" t="s">
        <v>9</v>
      </c>
      <c r="B25" s="16">
        <v>932070</v>
      </c>
      <c r="C25" s="16">
        <v>835133</v>
      </c>
      <c r="D25" s="18">
        <v>816889</v>
      </c>
      <c r="E25" s="18">
        <v>795209</v>
      </c>
      <c r="F25" s="18">
        <v>678301</v>
      </c>
      <c r="G25" s="18">
        <v>727318</v>
      </c>
      <c r="H25" s="18">
        <v>693461</v>
      </c>
      <c r="I25" s="18">
        <v>745022</v>
      </c>
      <c r="J25" s="18">
        <v>734419</v>
      </c>
      <c r="K25" s="19">
        <f t="shared" si="4"/>
        <v>6025752</v>
      </c>
    </row>
    <row r="26" spans="1:13" x14ac:dyDescent="0.35">
      <c r="A26" s="8" t="s">
        <v>10</v>
      </c>
      <c r="B26" s="16">
        <v>16152</v>
      </c>
      <c r="C26" s="16">
        <v>51713.17</v>
      </c>
      <c r="D26" s="18">
        <v>38306</v>
      </c>
      <c r="E26" s="18">
        <v>33327</v>
      </c>
      <c r="F26" s="18">
        <v>24236</v>
      </c>
      <c r="G26" s="18">
        <v>33230</v>
      </c>
      <c r="H26" s="18">
        <v>14569</v>
      </c>
      <c r="I26" s="18">
        <v>11319</v>
      </c>
      <c r="J26" s="18">
        <v>10627</v>
      </c>
      <c r="K26" s="19">
        <f t="shared" si="4"/>
        <v>217327.16999999998</v>
      </c>
    </row>
    <row r="27" spans="1:13" x14ac:dyDescent="0.35">
      <c r="A27" s="8" t="s">
        <v>14</v>
      </c>
      <c r="B27" s="16">
        <v>2329</v>
      </c>
      <c r="C27" s="16">
        <v>2666.0319999999997</v>
      </c>
      <c r="D27" s="18">
        <v>2594</v>
      </c>
      <c r="E27" s="18">
        <v>2555</v>
      </c>
      <c r="F27" s="18">
        <v>2972</v>
      </c>
      <c r="G27" s="18">
        <v>2929</v>
      </c>
      <c r="H27" s="18">
        <v>2492</v>
      </c>
      <c r="I27" s="18">
        <v>3468</v>
      </c>
      <c r="J27" s="18">
        <v>3244</v>
      </c>
      <c r="K27" s="19">
        <f t="shared" si="4"/>
        <v>22920.031999999999</v>
      </c>
    </row>
    <row r="28" spans="1:13" x14ac:dyDescent="0.35">
      <c r="A28" s="8" t="s">
        <v>13</v>
      </c>
      <c r="B28" s="16">
        <v>827</v>
      </c>
      <c r="C28" s="16">
        <v>804.70999999999992</v>
      </c>
      <c r="D28" s="18">
        <v>914</v>
      </c>
      <c r="E28" s="18">
        <v>950</v>
      </c>
      <c r="F28" s="18">
        <v>866</v>
      </c>
      <c r="G28" s="18">
        <v>900</v>
      </c>
      <c r="H28" s="18">
        <v>816</v>
      </c>
      <c r="I28" s="18">
        <v>890</v>
      </c>
      <c r="J28" s="18">
        <v>1004</v>
      </c>
      <c r="K28" s="19">
        <f t="shared" si="4"/>
        <v>7144.71</v>
      </c>
    </row>
    <row r="29" spans="1:13" x14ac:dyDescent="0.35">
      <c r="A29" s="8" t="s">
        <v>11</v>
      </c>
      <c r="B29" s="16">
        <v>13111</v>
      </c>
      <c r="C29" s="16">
        <v>12768.796</v>
      </c>
      <c r="D29" s="18">
        <v>11087</v>
      </c>
      <c r="E29" s="18">
        <v>10028</v>
      </c>
      <c r="F29" s="18">
        <v>9672</v>
      </c>
      <c r="G29" s="18">
        <v>8708</v>
      </c>
      <c r="H29" s="18">
        <v>7816</v>
      </c>
      <c r="I29" s="18">
        <v>8077</v>
      </c>
      <c r="J29" s="18">
        <v>7272</v>
      </c>
      <c r="K29" s="19">
        <f t="shared" si="4"/>
        <v>75428.796000000002</v>
      </c>
    </row>
    <row r="30" spans="1:13" x14ac:dyDescent="0.35">
      <c r="A30" s="8" t="s">
        <v>12</v>
      </c>
      <c r="B30" s="16">
        <v>4981</v>
      </c>
      <c r="C30" s="16">
        <v>6529.6509999999998</v>
      </c>
      <c r="D30" s="18">
        <v>7546</v>
      </c>
      <c r="E30" s="18">
        <v>6612</v>
      </c>
      <c r="F30" s="18">
        <v>6664</v>
      </c>
      <c r="G30" s="18">
        <v>6700</v>
      </c>
      <c r="H30" s="18">
        <v>6716</v>
      </c>
      <c r="I30" s="18">
        <v>6733</v>
      </c>
      <c r="J30" s="18">
        <v>6602</v>
      </c>
      <c r="K30" s="19">
        <f t="shared" si="4"/>
        <v>54102.650999999998</v>
      </c>
    </row>
    <row r="31" spans="1:13" x14ac:dyDescent="0.35">
      <c r="A31" s="8"/>
      <c r="B31" s="20"/>
      <c r="C31" s="20"/>
      <c r="D31" s="18"/>
      <c r="E31" s="18"/>
      <c r="F31" s="18"/>
      <c r="G31" s="18"/>
      <c r="H31" s="18"/>
      <c r="I31" s="18"/>
      <c r="J31" s="18"/>
      <c r="K31" s="21"/>
    </row>
    <row r="32" spans="1:13" x14ac:dyDescent="0.35">
      <c r="A32" s="44" t="s">
        <v>15</v>
      </c>
      <c r="B32" s="42">
        <v>29748</v>
      </c>
      <c r="C32" s="42">
        <f>SUM(C33:C35)</f>
        <v>26647</v>
      </c>
      <c r="D32" s="42">
        <f t="shared" ref="D32:J32" si="5">SUM(D33:D35)</f>
        <v>23622</v>
      </c>
      <c r="E32" s="42">
        <f t="shared" si="5"/>
        <v>23342</v>
      </c>
      <c r="F32" s="42">
        <f t="shared" si="5"/>
        <v>24025</v>
      </c>
      <c r="G32" s="42">
        <f t="shared" si="5"/>
        <v>23855</v>
      </c>
      <c r="H32" s="42">
        <f t="shared" si="5"/>
        <v>22527</v>
      </c>
      <c r="I32" s="42">
        <f t="shared" si="5"/>
        <v>24545</v>
      </c>
      <c r="J32" s="42">
        <f t="shared" si="5"/>
        <v>23163</v>
      </c>
      <c r="K32" s="43">
        <f>SUM(C32:J32)</f>
        <v>191726</v>
      </c>
      <c r="M32" s="22"/>
    </row>
    <row r="33" spans="1:14" x14ac:dyDescent="0.35">
      <c r="A33" s="8" t="s">
        <v>16</v>
      </c>
      <c r="B33" s="16">
        <v>18010</v>
      </c>
      <c r="C33" s="16">
        <v>16854</v>
      </c>
      <c r="D33" s="18">
        <v>16100</v>
      </c>
      <c r="E33" s="18">
        <v>16484</v>
      </c>
      <c r="F33" s="18">
        <v>16206</v>
      </c>
      <c r="G33" s="18">
        <v>16331</v>
      </c>
      <c r="H33" s="18">
        <v>14713</v>
      </c>
      <c r="I33" s="18">
        <v>16107</v>
      </c>
      <c r="J33" s="18">
        <v>15008</v>
      </c>
      <c r="K33" s="19">
        <f>SUM(C33:J33)</f>
        <v>127803</v>
      </c>
    </row>
    <row r="34" spans="1:14" x14ac:dyDescent="0.35">
      <c r="A34" s="8" t="s">
        <v>17</v>
      </c>
      <c r="B34" s="16">
        <v>4</v>
      </c>
      <c r="C34" s="16">
        <v>0</v>
      </c>
      <c r="D34" s="16">
        <v>7</v>
      </c>
      <c r="E34" s="16">
        <v>53</v>
      </c>
      <c r="F34" s="16">
        <v>0</v>
      </c>
      <c r="G34" s="16">
        <v>4</v>
      </c>
      <c r="H34" s="16">
        <v>139</v>
      </c>
      <c r="I34" s="16">
        <v>225</v>
      </c>
      <c r="J34" s="16">
        <v>346</v>
      </c>
      <c r="K34" s="19">
        <f>SUM(C34:J34)</f>
        <v>774</v>
      </c>
      <c r="M34" s="22"/>
      <c r="N34" s="23"/>
    </row>
    <row r="35" spans="1:14" x14ac:dyDescent="0.35">
      <c r="A35" s="8" t="s">
        <v>18</v>
      </c>
      <c r="B35" s="16">
        <v>11734</v>
      </c>
      <c r="C35" s="16">
        <v>9793</v>
      </c>
      <c r="D35" s="18">
        <v>7515</v>
      </c>
      <c r="E35" s="18">
        <v>6805</v>
      </c>
      <c r="F35" s="18">
        <v>7819</v>
      </c>
      <c r="G35" s="18">
        <v>7520</v>
      </c>
      <c r="H35" s="18">
        <v>7675</v>
      </c>
      <c r="I35" s="18">
        <v>8213</v>
      </c>
      <c r="J35" s="18">
        <f>390+1795+5624</f>
        <v>7809</v>
      </c>
      <c r="K35" s="19">
        <f>SUM(C35:J35)</f>
        <v>63149</v>
      </c>
    </row>
    <row r="36" spans="1:14" x14ac:dyDescent="0.35">
      <c r="A36" s="8"/>
      <c r="B36" s="20"/>
      <c r="C36" s="20"/>
      <c r="D36" s="18"/>
      <c r="E36" s="18"/>
      <c r="F36" s="18"/>
      <c r="G36" s="18"/>
      <c r="H36" s="18"/>
      <c r="I36" s="18"/>
      <c r="J36" s="18"/>
      <c r="K36" s="21"/>
    </row>
    <row r="37" spans="1:14" ht="15" thickBot="1" x14ac:dyDescent="0.4">
      <c r="A37" s="25" t="s">
        <v>20</v>
      </c>
      <c r="B37" s="26">
        <v>6621201</v>
      </c>
      <c r="C37" s="26">
        <v>6294693.1699999999</v>
      </c>
      <c r="D37" s="26">
        <v>5925940</v>
      </c>
      <c r="E37" s="26">
        <v>5546639</v>
      </c>
      <c r="F37" s="26">
        <v>5238367</v>
      </c>
      <c r="G37" s="26">
        <v>5089546</v>
      </c>
      <c r="H37" s="26">
        <v>4855087</v>
      </c>
      <c r="I37" s="26">
        <v>4854443</v>
      </c>
      <c r="J37" s="26">
        <v>4763887</v>
      </c>
      <c r="K37" s="27">
        <f>K7+K23</f>
        <v>42588715.170000002</v>
      </c>
    </row>
  </sheetData>
  <pageMargins left="0.7" right="0.7" top="0.75" bottom="0.75" header="0.3" footer="0.3"/>
  <pageSetup orientation="portrait" horizontalDpi="4294967295" verticalDpi="4294967295" r:id="rId1"/>
  <ignoredErrors>
    <ignoredError sqref="C7:J2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"/>
  <sheetViews>
    <sheetView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35</v>
      </c>
      <c r="B1" s="3"/>
      <c r="C1" s="9"/>
      <c r="D1" s="9"/>
      <c r="E1" s="9"/>
      <c r="F1" s="9"/>
    </row>
    <row r="2" spans="1:6" ht="15.5" x14ac:dyDescent="0.35">
      <c r="A2" s="2" t="s">
        <v>36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999982</v>
      </c>
      <c r="C8" s="29">
        <f>SUM(C9:C11)</f>
        <v>829483</v>
      </c>
      <c r="D8" s="29">
        <f>SUM(D9:D11)</f>
        <v>770328</v>
      </c>
      <c r="E8" s="29">
        <f t="shared" ref="E8" si="0">SUM(E9:E11)</f>
        <v>710561</v>
      </c>
      <c r="F8" s="30">
        <f>SUM(B8:E8)</f>
        <v>3310354</v>
      </c>
    </row>
    <row r="9" spans="1:6" x14ac:dyDescent="0.35">
      <c r="A9" s="8" t="s">
        <v>8</v>
      </c>
      <c r="B9" s="16">
        <f>151339+992+149430+928+173983+1131</f>
        <v>477803</v>
      </c>
      <c r="C9" s="17">
        <f>145144+788+118893+471+132516+380</f>
        <v>398192</v>
      </c>
      <c r="D9" s="18">
        <f>155222+81+128619+341+80433+359</f>
        <v>365055</v>
      </c>
      <c r="E9" s="18">
        <f>92324+116894+156073</f>
        <v>365291</v>
      </c>
      <c r="F9" s="19">
        <f t="shared" ref="F9:F20" si="1">SUM(B9:E9)</f>
        <v>1606341</v>
      </c>
    </row>
    <row r="10" spans="1:6" x14ac:dyDescent="0.35">
      <c r="A10" s="8" t="s">
        <v>9</v>
      </c>
      <c r="B10" s="16">
        <f>168267+1008+145579+988+179608+1070</f>
        <v>496520</v>
      </c>
      <c r="C10" s="17">
        <f>153763+771+126814+466+127392+400</f>
        <v>409606</v>
      </c>
      <c r="D10" s="18">
        <f>152686+97+145218+339+84962+407</f>
        <v>383709</v>
      </c>
      <c r="E10" s="18">
        <f>90030+108906+124885</f>
        <v>323821</v>
      </c>
      <c r="F10" s="19">
        <f t="shared" si="1"/>
        <v>1613656</v>
      </c>
    </row>
    <row r="11" spans="1:6" x14ac:dyDescent="0.35">
      <c r="A11" s="8" t="s">
        <v>10</v>
      </c>
      <c r="B11" s="16">
        <f>9259+33+7731+34+8580+22</f>
        <v>25659</v>
      </c>
      <c r="C11" s="17">
        <f>6314+48+7419+2+7887+15</f>
        <v>21685</v>
      </c>
      <c r="D11" s="18">
        <f>7101+16+7453+10+6953+31</f>
        <v>21564</v>
      </c>
      <c r="E11" s="18">
        <f>7119+5684+8646</f>
        <v>21449</v>
      </c>
      <c r="F11" s="19">
        <f t="shared" si="1"/>
        <v>90357</v>
      </c>
    </row>
    <row r="12" spans="1:6" x14ac:dyDescent="0.35">
      <c r="A12" s="8" t="s">
        <v>14</v>
      </c>
      <c r="B12" s="14">
        <f>0</f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65.94+40.77+46.71+36.45+53.16+43.89</f>
        <v>286.92</v>
      </c>
      <c r="C14" s="18">
        <f>47.84+36.38+75.88+40.05+45.7+63.22</f>
        <v>309.06999999999994</v>
      </c>
      <c r="D14" s="18">
        <f>57.06+41.75+45.22+47.91+28.36+49.32</f>
        <v>269.62</v>
      </c>
      <c r="E14" s="18">
        <f>77.05+94.93+120.74</f>
        <v>292.72000000000003</v>
      </c>
      <c r="F14" s="19">
        <f t="shared" si="1"/>
        <v>1158.33</v>
      </c>
    </row>
    <row r="15" spans="1:6" x14ac:dyDescent="0.35">
      <c r="A15" s="8" t="s">
        <v>12</v>
      </c>
      <c r="B15" s="16">
        <f>279.51+10.4+272.93+12.83+319.28+9.96</f>
        <v>904.91</v>
      </c>
      <c r="C15" s="18">
        <f>309.33+9.21+339.93+8.12+299.66+11.11</f>
        <v>977.36</v>
      </c>
      <c r="D15" s="18">
        <f>295.76+12.39+277.79+7.72+258.28+9.34</f>
        <v>861.28000000000009</v>
      </c>
      <c r="E15" s="18">
        <f>305.71+229.98+333.22</f>
        <v>868.91</v>
      </c>
      <c r="F15" s="19">
        <f t="shared" si="1"/>
        <v>3612.46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0</v>
      </c>
      <c r="C17" s="29">
        <f t="shared" ref="C17:E17" si="2">SUM(C18:C20)</f>
        <v>0</v>
      </c>
      <c r="D17" s="29">
        <f t="shared" si="2"/>
        <v>0</v>
      </c>
      <c r="E17" s="29">
        <f t="shared" si="2"/>
        <v>0</v>
      </c>
      <c r="F17" s="30">
        <f t="shared" si="1"/>
        <v>0</v>
      </c>
    </row>
    <row r="18" spans="1:6" x14ac:dyDescent="0.35">
      <c r="A18" s="34" t="s">
        <v>16</v>
      </c>
      <c r="B18" s="35"/>
      <c r="C18" s="36"/>
      <c r="D18" s="36"/>
      <c r="E18" s="36"/>
      <c r="F18" s="37">
        <f>SUM(B18:E18)</f>
        <v>0</v>
      </c>
    </row>
    <row r="19" spans="1:6" x14ac:dyDescent="0.35">
      <c r="A19" s="8" t="s">
        <v>17</v>
      </c>
      <c r="B19" s="16"/>
      <c r="C19" s="18"/>
      <c r="D19" s="18"/>
      <c r="E19" s="18"/>
      <c r="F19" s="19">
        <f t="shared" si="1"/>
        <v>0</v>
      </c>
    </row>
    <row r="20" spans="1:6" x14ac:dyDescent="0.35">
      <c r="A20" s="8" t="s">
        <v>18</v>
      </c>
      <c r="B20" s="16"/>
      <c r="C20" s="18"/>
      <c r="D20" s="18"/>
      <c r="E20" s="18"/>
      <c r="F20" s="19">
        <f t="shared" si="1"/>
        <v>0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337449</v>
      </c>
      <c r="C24" s="29">
        <f t="shared" ref="C24:E24" si="3">SUM(C25:C27)</f>
        <v>354123</v>
      </c>
      <c r="D24" s="29">
        <f t="shared" si="3"/>
        <v>415921</v>
      </c>
      <c r="E24" s="29">
        <f t="shared" si="3"/>
        <v>346040</v>
      </c>
      <c r="F24" s="30">
        <f>SUM(B24:E24)</f>
        <v>1453533</v>
      </c>
    </row>
    <row r="25" spans="1:6" x14ac:dyDescent="0.35">
      <c r="A25" s="8" t="s">
        <v>8</v>
      </c>
      <c r="B25" s="16">
        <f>54074+370+46715+503+54496+578</f>
        <v>156736</v>
      </c>
      <c r="C25" s="18">
        <f>57144+593+53903+538+57227+524</f>
        <v>169929</v>
      </c>
      <c r="D25" s="18">
        <f>73473+364+72529+443+51954+487</f>
        <v>199250</v>
      </c>
      <c r="E25" s="18">
        <f>51361+363+55745+371+74250+482</f>
        <v>182572</v>
      </c>
      <c r="F25" s="19">
        <f t="shared" ref="F25:F31" si="4">SUM(B25:E25)</f>
        <v>708487</v>
      </c>
    </row>
    <row r="26" spans="1:6" x14ac:dyDescent="0.35">
      <c r="A26" s="8" t="s">
        <v>9</v>
      </c>
      <c r="B26" s="16">
        <f>70386+455+47559+369+58890+536</f>
        <v>178195</v>
      </c>
      <c r="C26" s="18">
        <f>61181+504+63677+505+56150+428</f>
        <v>182445</v>
      </c>
      <c r="D26" s="18">
        <f>74093+337+84150+620+54858+497</f>
        <v>214555</v>
      </c>
      <c r="E26" s="18">
        <f>49304+298+51770+359+57101+392</f>
        <v>159224</v>
      </c>
      <c r="F26" s="19">
        <f t="shared" si="4"/>
        <v>734419</v>
      </c>
    </row>
    <row r="27" spans="1:6" x14ac:dyDescent="0.35">
      <c r="A27" s="8" t="s">
        <v>10</v>
      </c>
      <c r="B27" s="16">
        <f>1162+21+677+12+626+20</f>
        <v>2518</v>
      </c>
      <c r="C27" s="18">
        <f>848+2+234+4+658+3</f>
        <v>1749</v>
      </c>
      <c r="D27" s="18">
        <f>490+691+11+903+21</f>
        <v>2116</v>
      </c>
      <c r="E27" s="18">
        <f>1305+1369+1564+6</f>
        <v>4244</v>
      </c>
      <c r="F27" s="19">
        <f t="shared" si="4"/>
        <v>10627</v>
      </c>
    </row>
    <row r="28" spans="1:6" x14ac:dyDescent="0.35">
      <c r="A28" s="8" t="s">
        <v>14</v>
      </c>
      <c r="B28" s="16">
        <f>171+130+2+166+119+184+130</f>
        <v>902</v>
      </c>
      <c r="C28" s="18">
        <f>158+107+150+102+168+122</f>
        <v>807</v>
      </c>
      <c r="D28" s="18">
        <f>137+74+155+118+141+99</f>
        <v>724</v>
      </c>
      <c r="E28" s="18">
        <f>135+93+156+130+171+126</f>
        <v>811</v>
      </c>
      <c r="F28" s="19">
        <f t="shared" si="4"/>
        <v>3244</v>
      </c>
    </row>
    <row r="29" spans="1:6" x14ac:dyDescent="0.35">
      <c r="A29" s="8" t="s">
        <v>13</v>
      </c>
      <c r="B29" s="16">
        <f>58+26+59+27+77+33</f>
        <v>280</v>
      </c>
      <c r="C29" s="18">
        <f>62+27+65+31+52+26</f>
        <v>263</v>
      </c>
      <c r="D29" s="18">
        <f>46+24+48+28+49+27</f>
        <v>222</v>
      </c>
      <c r="E29" s="18">
        <f>46+25+56+36+48+28</f>
        <v>239</v>
      </c>
      <c r="F29" s="19">
        <f t="shared" si="4"/>
        <v>1004</v>
      </c>
    </row>
    <row r="30" spans="1:6" x14ac:dyDescent="0.35">
      <c r="A30" s="8" t="s">
        <v>11</v>
      </c>
      <c r="B30" s="16">
        <f>376+219+352+221+340+179</f>
        <v>1687</v>
      </c>
      <c r="C30" s="18">
        <f>310+122+6+388+174+552+250</f>
        <v>1802</v>
      </c>
      <c r="D30" s="18">
        <f>402+253+473+217+435+233</f>
        <v>2013</v>
      </c>
      <c r="E30" s="18">
        <f>342+149+344+241+471+223</f>
        <v>1770</v>
      </c>
      <c r="F30" s="19">
        <f t="shared" si="4"/>
        <v>7272</v>
      </c>
    </row>
    <row r="31" spans="1:6" x14ac:dyDescent="0.35">
      <c r="A31" s="8" t="s">
        <v>12</v>
      </c>
      <c r="B31" s="16">
        <f>413+139+412+130+472+106</f>
        <v>1672</v>
      </c>
      <c r="C31" s="18">
        <f>441+78+529+99+9+340+75</f>
        <v>1571</v>
      </c>
      <c r="D31" s="18">
        <f>494+152+430+90+489+107</f>
        <v>1762</v>
      </c>
      <c r="E31" s="18">
        <f>437+97+412+140+415+96</f>
        <v>1597</v>
      </c>
      <c r="F31" s="19">
        <f t="shared" si="4"/>
        <v>6602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0</v>
      </c>
      <c r="C33" s="29">
        <f t="shared" ref="C33:E33" si="5">SUM(C34:C36)</f>
        <v>0</v>
      </c>
      <c r="D33" s="29">
        <f t="shared" si="5"/>
        <v>0</v>
      </c>
      <c r="E33" s="29">
        <f t="shared" si="5"/>
        <v>0</v>
      </c>
      <c r="F33" s="30">
        <f>SUM(B33:E33)</f>
        <v>0</v>
      </c>
    </row>
    <row r="34" spans="1:6" x14ac:dyDescent="0.35">
      <c r="A34" s="8" t="s">
        <v>16</v>
      </c>
      <c r="B34" s="16"/>
      <c r="C34" s="18"/>
      <c r="D34" s="18"/>
      <c r="E34" s="18"/>
      <c r="F34" s="19">
        <f t="shared" ref="F34:F36" si="6">SUM(B34:E34)</f>
        <v>0</v>
      </c>
    </row>
    <row r="35" spans="1:6" x14ac:dyDescent="0.35">
      <c r="A35" s="8" t="s">
        <v>17</v>
      </c>
      <c r="B35" s="16"/>
      <c r="C35" s="16"/>
      <c r="D35" s="16"/>
      <c r="E35" s="18"/>
      <c r="F35" s="19">
        <f t="shared" si="6"/>
        <v>0</v>
      </c>
    </row>
    <row r="36" spans="1:6" x14ac:dyDescent="0.35">
      <c r="A36" s="8" t="s">
        <v>18</v>
      </c>
      <c r="B36" s="16"/>
      <c r="C36" s="18"/>
      <c r="D36" s="18"/>
      <c r="E36" s="18"/>
      <c r="F36" s="19">
        <f t="shared" si="6"/>
        <v>0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1337431</v>
      </c>
      <c r="C38" s="26">
        <f>C8+C24</f>
        <v>1183606</v>
      </c>
      <c r="D38" s="26">
        <f t="shared" ref="D38:E38" si="7">D8+D24</f>
        <v>1186249</v>
      </c>
      <c r="E38" s="26">
        <f t="shared" si="7"/>
        <v>1056601</v>
      </c>
      <c r="F38" s="27">
        <f>F8+F24</f>
        <v>4763887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7302-0FD1-41BD-80AC-13723B02FE35}">
  <dimension ref="A1:F39"/>
  <sheetViews>
    <sheetView workbookViewId="0">
      <selection activeCell="C19" sqref="C19"/>
    </sheetView>
  </sheetViews>
  <sheetFormatPr defaultRowHeight="14.5" x14ac:dyDescent="0.35"/>
  <cols>
    <col min="1" max="1" width="42.81640625" bestFit="1" customWidth="1"/>
    <col min="2" max="6" width="12.54296875" customWidth="1"/>
  </cols>
  <sheetData>
    <row r="1" spans="1:6" x14ac:dyDescent="0.35">
      <c r="B1" s="3"/>
      <c r="C1" s="9"/>
      <c r="D1" s="9"/>
      <c r="E1" s="9"/>
      <c r="F1" s="9"/>
    </row>
    <row r="2" spans="1:6" ht="15.5" x14ac:dyDescent="0.35">
      <c r="A2" s="2" t="s">
        <v>39</v>
      </c>
      <c r="B2" s="3"/>
      <c r="C2" s="9"/>
      <c r="D2" s="9"/>
      <c r="E2" s="9"/>
      <c r="F2" s="9"/>
    </row>
    <row r="3" spans="1:6" ht="15.5" x14ac:dyDescent="0.35">
      <c r="A3" s="2" t="s">
        <v>40</v>
      </c>
      <c r="B3" s="3"/>
      <c r="C3" s="9"/>
      <c r="D3" s="9"/>
      <c r="E3" s="9"/>
      <c r="F3" s="9"/>
    </row>
    <row r="4" spans="1:6" ht="15" thickBot="1" x14ac:dyDescent="0.4">
      <c r="B4" s="3"/>
      <c r="C4" s="9"/>
      <c r="D4" s="9"/>
      <c r="E4" s="9"/>
      <c r="F4" s="10"/>
    </row>
    <row r="5" spans="1:6" ht="15" thickBot="1" x14ac:dyDescent="0.4">
      <c r="A5" s="5" t="s">
        <v>0</v>
      </c>
      <c r="B5" s="6" t="s">
        <v>1</v>
      </c>
      <c r="C5" s="11" t="s">
        <v>2</v>
      </c>
      <c r="D5" s="11" t="s">
        <v>3</v>
      </c>
      <c r="E5" s="12" t="s">
        <v>4</v>
      </c>
      <c r="F5" s="11" t="s">
        <v>5</v>
      </c>
    </row>
    <row r="6" spans="1:6" x14ac:dyDescent="0.35">
      <c r="A6" s="8"/>
      <c r="B6" s="3"/>
      <c r="C6" s="10"/>
      <c r="D6" s="10"/>
      <c r="E6" s="10"/>
      <c r="F6" s="13"/>
    </row>
    <row r="7" spans="1:6" x14ac:dyDescent="0.35">
      <c r="A7" s="32" t="s">
        <v>6</v>
      </c>
      <c r="B7" s="3"/>
      <c r="C7" s="10"/>
      <c r="D7" s="10"/>
      <c r="E7" s="10"/>
      <c r="F7" s="13"/>
    </row>
    <row r="8" spans="1:6" x14ac:dyDescent="0.35">
      <c r="A8" s="8"/>
      <c r="B8" s="3"/>
      <c r="C8" s="10"/>
      <c r="D8" s="10"/>
      <c r="E8" s="10"/>
      <c r="F8" s="13"/>
    </row>
    <row r="9" spans="1:6" x14ac:dyDescent="0.35">
      <c r="A9" s="31" t="s">
        <v>7</v>
      </c>
      <c r="B9" s="29">
        <f>SUM(B10:B12)</f>
        <v>1353204</v>
      </c>
      <c r="C9" s="29">
        <f>SUM(C10:C12)</f>
        <v>1197228</v>
      </c>
      <c r="D9" s="29">
        <f>SUM(D10:D12)</f>
        <v>1116907</v>
      </c>
      <c r="E9" s="29">
        <f t="shared" ref="E9" si="0">SUM(E10:E12)</f>
        <v>1098925</v>
      </c>
      <c r="F9" s="30">
        <f>SUM(B9:E9)</f>
        <v>4766264</v>
      </c>
    </row>
    <row r="10" spans="1:6" x14ac:dyDescent="0.35">
      <c r="A10" s="8" t="s">
        <v>8</v>
      </c>
      <c r="B10" s="46">
        <v>656170</v>
      </c>
      <c r="C10" s="17">
        <v>580353</v>
      </c>
      <c r="D10" s="18">
        <v>540503</v>
      </c>
      <c r="E10" s="18">
        <f>'[1]4th quarter '!$E$40</f>
        <v>572165</v>
      </c>
      <c r="F10" s="19">
        <f t="shared" ref="F10:F21" si="1">SUM(B10:E10)</f>
        <v>2349191</v>
      </c>
    </row>
    <row r="11" spans="1:6" x14ac:dyDescent="0.35">
      <c r="A11" s="8" t="s">
        <v>9</v>
      </c>
      <c r="B11" s="46">
        <v>681481</v>
      </c>
      <c r="C11" s="17">
        <v>602168</v>
      </c>
      <c r="D11" s="18">
        <v>560852</v>
      </c>
      <c r="E11" s="18">
        <f>'[1]4th quarter '!$E$39</f>
        <v>513316</v>
      </c>
      <c r="F11" s="19">
        <f t="shared" si="1"/>
        <v>2357817</v>
      </c>
    </row>
    <row r="12" spans="1:6" x14ac:dyDescent="0.35">
      <c r="A12" s="8" t="s">
        <v>10</v>
      </c>
      <c r="B12" s="46">
        <v>15553</v>
      </c>
      <c r="C12" s="17">
        <v>14707</v>
      </c>
      <c r="D12" s="18">
        <v>15552</v>
      </c>
      <c r="E12" s="18">
        <f>'[1]4th quarter '!$E$41</f>
        <v>13444</v>
      </c>
      <c r="F12" s="19">
        <f t="shared" si="1"/>
        <v>59256</v>
      </c>
    </row>
    <row r="13" spans="1:6" x14ac:dyDescent="0.35">
      <c r="A13" s="8" t="s">
        <v>14</v>
      </c>
      <c r="B13" s="47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13</v>
      </c>
      <c r="B14" s="47">
        <v>0</v>
      </c>
      <c r="C14" s="15">
        <v>0</v>
      </c>
      <c r="D14" s="15">
        <v>0</v>
      </c>
      <c r="E14" s="15">
        <v>0</v>
      </c>
      <c r="F14" s="19">
        <f t="shared" si="1"/>
        <v>0</v>
      </c>
    </row>
    <row r="15" spans="1:6" x14ac:dyDescent="0.35">
      <c r="A15" s="8" t="s">
        <v>11</v>
      </c>
      <c r="B15" s="46">
        <v>294</v>
      </c>
      <c r="C15" s="18">
        <v>233</v>
      </c>
      <c r="D15" s="18">
        <v>298</v>
      </c>
      <c r="E15" s="18">
        <f>389</f>
        <v>389</v>
      </c>
      <c r="F15" s="19">
        <f t="shared" si="1"/>
        <v>1214</v>
      </c>
    </row>
    <row r="16" spans="1:6" x14ac:dyDescent="0.35">
      <c r="A16" s="8" t="s">
        <v>12</v>
      </c>
      <c r="B16" s="46">
        <v>1509</v>
      </c>
      <c r="C16" s="18">
        <v>1596</v>
      </c>
      <c r="D16" s="18">
        <v>1446</v>
      </c>
      <c r="E16" s="18">
        <v>1368</v>
      </c>
      <c r="F16" s="19">
        <f t="shared" si="1"/>
        <v>5919</v>
      </c>
    </row>
    <row r="17" spans="1:6" x14ac:dyDescent="0.35">
      <c r="A17" s="8"/>
      <c r="B17" s="48"/>
      <c r="C17" s="18"/>
      <c r="D17" s="18"/>
      <c r="E17" s="18"/>
      <c r="F17" s="21"/>
    </row>
    <row r="18" spans="1:6" x14ac:dyDescent="0.35">
      <c r="A18" s="28" t="s">
        <v>15</v>
      </c>
      <c r="B18" s="29">
        <f>SUM(B19:B21)</f>
        <v>12449</v>
      </c>
      <c r="C18" s="29">
        <f t="shared" ref="C18:E18" si="2">SUM(C19:C21)</f>
        <v>10437</v>
      </c>
      <c r="D18" s="29">
        <f t="shared" si="2"/>
        <v>9597</v>
      </c>
      <c r="E18" s="29">
        <f t="shared" si="2"/>
        <v>10379</v>
      </c>
      <c r="F18" s="30">
        <f t="shared" si="1"/>
        <v>42862</v>
      </c>
    </row>
    <row r="19" spans="1:6" x14ac:dyDescent="0.35">
      <c r="A19" s="8" t="s">
        <v>16</v>
      </c>
      <c r="B19" s="46">
        <v>6954</v>
      </c>
      <c r="C19" s="36">
        <v>6627</v>
      </c>
      <c r="D19" s="36">
        <v>6257</v>
      </c>
      <c r="E19" s="36">
        <v>6307</v>
      </c>
      <c r="F19" s="37">
        <f>SUM(B19:E19)</f>
        <v>26145</v>
      </c>
    </row>
    <row r="20" spans="1:6" x14ac:dyDescent="0.35">
      <c r="A20" s="8" t="s">
        <v>17</v>
      </c>
      <c r="B20" s="46">
        <v>2362</v>
      </c>
      <c r="C20" s="18">
        <v>1428</v>
      </c>
      <c r="D20" s="18">
        <v>1070</v>
      </c>
      <c r="E20" s="18">
        <v>1388</v>
      </c>
      <c r="F20" s="19">
        <f t="shared" si="1"/>
        <v>6248</v>
      </c>
    </row>
    <row r="21" spans="1:6" x14ac:dyDescent="0.35">
      <c r="A21" s="8" t="s">
        <v>18</v>
      </c>
      <c r="B21" s="46">
        <f>1042+330+1761</f>
        <v>3133</v>
      </c>
      <c r="C21" s="18">
        <v>2382</v>
      </c>
      <c r="D21" s="18">
        <v>2270</v>
      </c>
      <c r="E21" s="18">
        <v>2684</v>
      </c>
      <c r="F21" s="19">
        <f t="shared" si="1"/>
        <v>10469</v>
      </c>
    </row>
    <row r="22" spans="1:6" x14ac:dyDescent="0.35">
      <c r="A22" s="8"/>
      <c r="B22" s="48"/>
      <c r="C22" s="18"/>
      <c r="D22" s="18"/>
      <c r="E22" s="18"/>
      <c r="F22" s="21"/>
    </row>
    <row r="23" spans="1:6" x14ac:dyDescent="0.35">
      <c r="A23" s="32" t="s">
        <v>19</v>
      </c>
      <c r="B23" s="48"/>
      <c r="C23" s="18"/>
      <c r="D23" s="18"/>
      <c r="E23" s="18"/>
      <c r="F23" s="21"/>
    </row>
    <row r="24" spans="1:6" x14ac:dyDescent="0.35">
      <c r="A24" s="33"/>
      <c r="B24" s="48"/>
      <c r="C24" s="18"/>
      <c r="D24" s="18"/>
      <c r="E24" s="18"/>
      <c r="F24" s="21"/>
    </row>
    <row r="25" spans="1:6" x14ac:dyDescent="0.35">
      <c r="A25" s="31" t="s">
        <v>7</v>
      </c>
      <c r="B25" s="29">
        <f>SUM(B26:B28)</f>
        <v>402860</v>
      </c>
      <c r="C25" s="29">
        <f t="shared" ref="C25:E25" si="3">SUM(C26:C28)</f>
        <v>455445</v>
      </c>
      <c r="D25" s="29">
        <f t="shared" si="3"/>
        <v>551837</v>
      </c>
      <c r="E25" s="29">
        <f t="shared" si="3"/>
        <v>444795</v>
      </c>
      <c r="F25" s="30">
        <f>SUM(B25:E25)</f>
        <v>1854937</v>
      </c>
    </row>
    <row r="26" spans="1:6" x14ac:dyDescent="0.35">
      <c r="A26" s="8" t="s">
        <v>8</v>
      </c>
      <c r="B26" s="46">
        <v>189566</v>
      </c>
      <c r="C26" s="18">
        <v>213837</v>
      </c>
      <c r="D26" s="18">
        <v>268282</v>
      </c>
      <c r="E26" s="18">
        <f>'[1]4th quarter '!$E$29</f>
        <v>235030</v>
      </c>
      <c r="F26" s="19">
        <f t="shared" ref="F26:F32" si="4">SUM(B26:E26)</f>
        <v>906715</v>
      </c>
    </row>
    <row r="27" spans="1:6" x14ac:dyDescent="0.35">
      <c r="A27" s="8" t="s">
        <v>9</v>
      </c>
      <c r="B27" s="46">
        <v>208454</v>
      </c>
      <c r="C27" s="18">
        <v>238146</v>
      </c>
      <c r="D27" s="18">
        <v>279046</v>
      </c>
      <c r="E27" s="18">
        <f>'[1]4th quarter '!$E$28</f>
        <v>206424</v>
      </c>
      <c r="F27" s="19">
        <f t="shared" si="4"/>
        <v>932070</v>
      </c>
    </row>
    <row r="28" spans="1:6" x14ac:dyDescent="0.35">
      <c r="A28" s="8" t="s">
        <v>10</v>
      </c>
      <c r="B28" s="46">
        <v>4840</v>
      </c>
      <c r="C28" s="18">
        <v>3462</v>
      </c>
      <c r="D28" s="18">
        <v>4509</v>
      </c>
      <c r="E28" s="18">
        <v>3341</v>
      </c>
      <c r="F28" s="19">
        <f t="shared" si="4"/>
        <v>16152</v>
      </c>
    </row>
    <row r="29" spans="1:6" x14ac:dyDescent="0.35">
      <c r="A29" s="8" t="s">
        <v>14</v>
      </c>
      <c r="B29" s="46">
        <v>602</v>
      </c>
      <c r="C29" s="18">
        <v>653</v>
      </c>
      <c r="D29" s="18">
        <v>619</v>
      </c>
      <c r="E29" s="18">
        <v>455</v>
      </c>
      <c r="F29" s="19">
        <f t="shared" si="4"/>
        <v>2329</v>
      </c>
    </row>
    <row r="30" spans="1:6" x14ac:dyDescent="0.35">
      <c r="A30" s="8" t="s">
        <v>13</v>
      </c>
      <c r="B30" s="46">
        <v>157</v>
      </c>
      <c r="C30" s="18">
        <v>257</v>
      </c>
      <c r="D30" s="18">
        <v>235</v>
      </c>
      <c r="E30" s="18">
        <v>178</v>
      </c>
      <c r="F30" s="19">
        <f t="shared" si="4"/>
        <v>827</v>
      </c>
    </row>
    <row r="31" spans="1:6" x14ac:dyDescent="0.35">
      <c r="A31" s="8" t="s">
        <v>11</v>
      </c>
      <c r="B31" s="46">
        <v>3049</v>
      </c>
      <c r="C31" s="18">
        <v>3361</v>
      </c>
      <c r="D31" s="18">
        <v>3158</v>
      </c>
      <c r="E31" s="18">
        <v>3543</v>
      </c>
      <c r="F31" s="19">
        <f t="shared" si="4"/>
        <v>13111</v>
      </c>
    </row>
    <row r="32" spans="1:6" x14ac:dyDescent="0.35">
      <c r="A32" s="8" t="s">
        <v>12</v>
      </c>
      <c r="B32" s="46">
        <v>1189</v>
      </c>
      <c r="C32" s="18">
        <v>1435</v>
      </c>
      <c r="D32" s="18">
        <v>1194</v>
      </c>
      <c r="E32" s="18">
        <v>1163</v>
      </c>
      <c r="F32" s="19">
        <f t="shared" si="4"/>
        <v>4981</v>
      </c>
    </row>
    <row r="33" spans="1:6" x14ac:dyDescent="0.35">
      <c r="A33" s="8"/>
      <c r="B33" s="48"/>
      <c r="C33" s="18"/>
      <c r="D33" s="18"/>
      <c r="E33" s="18"/>
      <c r="F33" s="21"/>
    </row>
    <row r="34" spans="1:6" x14ac:dyDescent="0.35">
      <c r="A34" s="28" t="s">
        <v>15</v>
      </c>
      <c r="B34" s="29">
        <f>SUM(B35:B37)</f>
        <v>7213</v>
      </c>
      <c r="C34" s="29">
        <f t="shared" ref="C34:E34" si="5">SUM(C35:C37)</f>
        <v>6704</v>
      </c>
      <c r="D34" s="29">
        <f t="shared" si="5"/>
        <v>8271</v>
      </c>
      <c r="E34" s="29">
        <f t="shared" si="5"/>
        <v>7560</v>
      </c>
      <c r="F34" s="30">
        <f>SUM(B34:E34)</f>
        <v>29748</v>
      </c>
    </row>
    <row r="35" spans="1:6" x14ac:dyDescent="0.35">
      <c r="A35" s="8" t="s">
        <v>16</v>
      </c>
      <c r="B35" s="46">
        <v>4143</v>
      </c>
      <c r="C35" s="18">
        <v>4194</v>
      </c>
      <c r="D35" s="18">
        <v>4959</v>
      </c>
      <c r="E35" s="18">
        <v>4714</v>
      </c>
      <c r="F35" s="19">
        <f t="shared" ref="F35:F37" si="6">SUM(B35:E35)</f>
        <v>18010</v>
      </c>
    </row>
    <row r="36" spans="1:6" x14ac:dyDescent="0.35">
      <c r="A36" s="8" t="s">
        <v>17</v>
      </c>
      <c r="B36" s="46">
        <v>0</v>
      </c>
      <c r="C36" s="46">
        <v>4</v>
      </c>
      <c r="D36" s="46">
        <v>0</v>
      </c>
      <c r="E36" s="18">
        <v>0</v>
      </c>
      <c r="F36" s="19">
        <f t="shared" si="6"/>
        <v>4</v>
      </c>
    </row>
    <row r="37" spans="1:6" x14ac:dyDescent="0.35">
      <c r="A37" s="8" t="s">
        <v>18</v>
      </c>
      <c r="B37" s="46">
        <f>2106+954+10</f>
        <v>3070</v>
      </c>
      <c r="C37" s="18">
        <v>2506</v>
      </c>
      <c r="D37" s="18">
        <v>3312</v>
      </c>
      <c r="E37" s="18">
        <v>2846</v>
      </c>
      <c r="F37" s="19">
        <f t="shared" si="6"/>
        <v>11734</v>
      </c>
    </row>
    <row r="38" spans="1:6" x14ac:dyDescent="0.35">
      <c r="A38" s="8"/>
      <c r="B38" s="48"/>
      <c r="C38" s="18"/>
      <c r="D38" s="18"/>
      <c r="E38" s="18"/>
      <c r="F38" s="21"/>
    </row>
    <row r="39" spans="1:6" ht="15" thickBot="1" x14ac:dyDescent="0.4">
      <c r="A39" s="25" t="s">
        <v>20</v>
      </c>
      <c r="B39" s="26">
        <f>B9+B25</f>
        <v>1756064</v>
      </c>
      <c r="C39" s="26">
        <f>C9+C25</f>
        <v>1652673</v>
      </c>
      <c r="D39" s="26">
        <f t="shared" ref="D39:E39" si="7">D9+D25</f>
        <v>1668744</v>
      </c>
      <c r="E39" s="26">
        <f t="shared" si="7"/>
        <v>1543720</v>
      </c>
      <c r="F39" s="27">
        <f>F9+F25</f>
        <v>6621201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workbookViewId="0">
      <selection activeCell="B34" sqref="B34:E36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22</v>
      </c>
      <c r="B1" s="3"/>
      <c r="C1" s="9"/>
      <c r="D1" s="9"/>
      <c r="E1" s="9"/>
      <c r="F1" s="9"/>
    </row>
    <row r="2" spans="1:6" ht="15.5" x14ac:dyDescent="0.35">
      <c r="A2" s="2" t="s">
        <v>23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1211985</v>
      </c>
      <c r="C8" s="29">
        <f>SUM(C9:C11)</f>
        <v>1138657</v>
      </c>
      <c r="D8" s="29">
        <f>SUM(D9:D11)</f>
        <v>1099106</v>
      </c>
      <c r="E8" s="29">
        <f t="shared" ref="E8" si="0">SUM(E9:E11)</f>
        <v>1087957</v>
      </c>
      <c r="F8" s="30">
        <f>SUM(B8:E8)</f>
        <v>4537705</v>
      </c>
    </row>
    <row r="9" spans="1:6" x14ac:dyDescent="0.35">
      <c r="A9" s="8" t="s">
        <v>8</v>
      </c>
      <c r="B9" s="16">
        <v>587389</v>
      </c>
      <c r="C9" s="17">
        <v>548951</v>
      </c>
      <c r="D9" s="18">
        <f>213785+545+190915+227+127159+260</f>
        <v>532891</v>
      </c>
      <c r="E9" s="18">
        <v>567514</v>
      </c>
      <c r="F9" s="19">
        <v>2256858</v>
      </c>
    </row>
    <row r="10" spans="1:6" x14ac:dyDescent="0.35">
      <c r="A10" s="8" t="s">
        <v>9</v>
      </c>
      <c r="B10" s="16">
        <v>608370</v>
      </c>
      <c r="C10" s="17">
        <v>574255</v>
      </c>
      <c r="D10" s="18">
        <v>551345</v>
      </c>
      <c r="E10" s="18">
        <v>510941</v>
      </c>
      <c r="F10" s="19">
        <v>2244911</v>
      </c>
    </row>
    <row r="11" spans="1:6" x14ac:dyDescent="0.35">
      <c r="A11" s="8" t="s">
        <v>10</v>
      </c>
      <c r="B11" s="16">
        <v>16226</v>
      </c>
      <c r="C11" s="17">
        <v>15451</v>
      </c>
      <c r="D11" s="18">
        <v>14870</v>
      </c>
      <c r="E11" s="18">
        <v>9502</v>
      </c>
      <c r="F11" s="19">
        <v>56049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v>0</v>
      </c>
    </row>
    <row r="14" spans="1:6" x14ac:dyDescent="0.35">
      <c r="A14" s="8" t="s">
        <v>11</v>
      </c>
      <c r="B14" s="16">
        <v>255.27099999999999</v>
      </c>
      <c r="C14" s="18">
        <v>252.87099999999998</v>
      </c>
      <c r="D14" s="18">
        <v>234</v>
      </c>
      <c r="E14" s="18">
        <v>293.17099999999999</v>
      </c>
      <c r="F14" s="19">
        <v>1035.3129999999999</v>
      </c>
    </row>
    <row r="15" spans="1:6" x14ac:dyDescent="0.35">
      <c r="A15" s="8" t="s">
        <v>12</v>
      </c>
      <c r="B15" s="16">
        <v>1651.941</v>
      </c>
      <c r="C15" s="18">
        <v>1732.3409999999999</v>
      </c>
      <c r="D15" s="18">
        <v>1440</v>
      </c>
      <c r="E15" s="18">
        <v>1617.82</v>
      </c>
      <c r="F15" s="19">
        <v>6442.1019999999999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v>12124</v>
      </c>
      <c r="C17" s="29">
        <v>10157</v>
      </c>
      <c r="D17" s="29">
        <v>9173</v>
      </c>
      <c r="E17" s="29">
        <v>10355</v>
      </c>
      <c r="F17" s="30">
        <v>41809</v>
      </c>
    </row>
    <row r="18" spans="1:6" x14ac:dyDescent="0.35">
      <c r="A18" s="34" t="s">
        <v>16</v>
      </c>
      <c r="B18" s="35">
        <v>6559</v>
      </c>
      <c r="C18" s="36">
        <v>6699</v>
      </c>
      <c r="D18" s="36">
        <v>6310</v>
      </c>
      <c r="E18" s="36">
        <v>6172</v>
      </c>
      <c r="F18" s="37">
        <v>25740</v>
      </c>
    </row>
    <row r="19" spans="1:6" x14ac:dyDescent="0.35">
      <c r="A19" s="8" t="s">
        <v>17</v>
      </c>
      <c r="B19" s="16">
        <v>2217</v>
      </c>
      <c r="C19" s="18">
        <v>1379</v>
      </c>
      <c r="D19" s="18">
        <v>1130</v>
      </c>
      <c r="E19" s="18">
        <v>1520</v>
      </c>
      <c r="F19" s="19">
        <v>6246</v>
      </c>
    </row>
    <row r="20" spans="1:6" x14ac:dyDescent="0.35">
      <c r="A20" s="8" t="s">
        <v>18</v>
      </c>
      <c r="B20" s="16">
        <v>3348</v>
      </c>
      <c r="C20" s="18">
        <v>2079</v>
      </c>
      <c r="D20" s="18">
        <v>1733</v>
      </c>
      <c r="E20" s="18">
        <v>2663</v>
      </c>
      <c r="F20" s="19">
        <v>9823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v>421477.17</v>
      </c>
      <c r="C24" s="29">
        <v>419376</v>
      </c>
      <c r="D24" s="29">
        <v>518015</v>
      </c>
      <c r="E24" s="29">
        <v>398120</v>
      </c>
      <c r="F24" s="30">
        <v>1756988.17</v>
      </c>
    </row>
    <row r="25" spans="1:6" x14ac:dyDescent="0.35">
      <c r="A25" s="8" t="s">
        <v>8</v>
      </c>
      <c r="B25" s="16">
        <v>168462</v>
      </c>
      <c r="C25" s="18">
        <v>189308</v>
      </c>
      <c r="D25" s="18">
        <v>242465</v>
      </c>
      <c r="E25" s="18">
        <v>207505</v>
      </c>
      <c r="F25" s="19">
        <v>870142</v>
      </c>
    </row>
    <row r="26" spans="1:6" x14ac:dyDescent="0.35">
      <c r="A26" s="8" t="s">
        <v>9</v>
      </c>
      <c r="B26" s="16">
        <v>183299</v>
      </c>
      <c r="C26" s="18">
        <v>213988</v>
      </c>
      <c r="D26" s="18">
        <v>256211</v>
      </c>
      <c r="E26" s="18">
        <v>181635</v>
      </c>
      <c r="F26" s="19">
        <v>835133</v>
      </c>
    </row>
    <row r="27" spans="1:6" x14ac:dyDescent="0.35">
      <c r="A27" s="8" t="s">
        <v>10</v>
      </c>
      <c r="B27" s="16">
        <v>7314.17</v>
      </c>
      <c r="C27" s="18">
        <v>16080</v>
      </c>
      <c r="D27" s="18">
        <v>19339</v>
      </c>
      <c r="E27" s="18">
        <v>8980</v>
      </c>
      <c r="F27" s="19">
        <v>51713.17</v>
      </c>
    </row>
    <row r="28" spans="1:6" x14ac:dyDescent="0.35">
      <c r="A28" s="8" t="s">
        <v>14</v>
      </c>
      <c r="B28" s="16">
        <v>655.02399999999989</v>
      </c>
      <c r="C28" s="18">
        <v>733.00799999999981</v>
      </c>
      <c r="D28" s="18">
        <v>630</v>
      </c>
      <c r="E28" s="18">
        <v>648</v>
      </c>
      <c r="F28" s="19">
        <v>2666.0319999999997</v>
      </c>
    </row>
    <row r="29" spans="1:6" x14ac:dyDescent="0.35">
      <c r="A29" s="8" t="s">
        <v>13</v>
      </c>
      <c r="B29" s="16">
        <v>201.35299999999995</v>
      </c>
      <c r="C29" s="18">
        <v>215.35699999999997</v>
      </c>
      <c r="D29" s="18">
        <v>181</v>
      </c>
      <c r="E29" s="18">
        <v>207</v>
      </c>
      <c r="F29" s="19">
        <v>804.70999999999992</v>
      </c>
    </row>
    <row r="30" spans="1:6" x14ac:dyDescent="0.35">
      <c r="A30" s="8" t="s">
        <v>11</v>
      </c>
      <c r="B30" s="16">
        <v>3078.0430000000006</v>
      </c>
      <c r="C30" s="18">
        <v>2901.7529999999997</v>
      </c>
      <c r="D30" s="18">
        <v>2689</v>
      </c>
      <c r="E30" s="18">
        <v>4100</v>
      </c>
      <c r="F30" s="19">
        <v>12768.796</v>
      </c>
    </row>
    <row r="31" spans="1:6" x14ac:dyDescent="0.35">
      <c r="A31" s="8" t="s">
        <v>12</v>
      </c>
      <c r="B31" s="16">
        <v>1617.0540000000001</v>
      </c>
      <c r="C31" s="18">
        <v>1599.5969999999998</v>
      </c>
      <c r="D31" s="18">
        <v>1824</v>
      </c>
      <c r="E31" s="18">
        <v>1489</v>
      </c>
      <c r="F31" s="19">
        <v>6529.6509999999998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v>5673</v>
      </c>
      <c r="C33" s="29">
        <v>6517</v>
      </c>
      <c r="D33" s="29">
        <v>6998</v>
      </c>
      <c r="E33" s="29">
        <v>7459</v>
      </c>
      <c r="F33" s="30">
        <v>26647</v>
      </c>
    </row>
    <row r="34" spans="1:6" x14ac:dyDescent="0.35">
      <c r="A34" s="8" t="s">
        <v>16</v>
      </c>
      <c r="B34" s="16">
        <v>4054</v>
      </c>
      <c r="C34" s="18">
        <v>4107</v>
      </c>
      <c r="D34" s="18">
        <v>4644</v>
      </c>
      <c r="E34" s="18">
        <v>4049</v>
      </c>
      <c r="F34" s="19">
        <v>16854</v>
      </c>
    </row>
    <row r="35" spans="1:6" x14ac:dyDescent="0.35">
      <c r="A35" s="8" t="s">
        <v>17</v>
      </c>
      <c r="B35" s="16">
        <v>0</v>
      </c>
      <c r="C35" s="16">
        <v>0</v>
      </c>
      <c r="D35" s="16">
        <v>0</v>
      </c>
      <c r="E35" s="18">
        <v>0</v>
      </c>
      <c r="F35" s="19">
        <v>0</v>
      </c>
    </row>
    <row r="36" spans="1:6" x14ac:dyDescent="0.35">
      <c r="A36" s="8" t="s">
        <v>18</v>
      </c>
      <c r="B36" s="16">
        <v>1619</v>
      </c>
      <c r="C36" s="18">
        <v>2410</v>
      </c>
      <c r="D36" s="18">
        <v>2354</v>
      </c>
      <c r="E36" s="18">
        <v>3410</v>
      </c>
      <c r="F36" s="19">
        <v>9793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1633462.17</v>
      </c>
      <c r="C38" s="26">
        <f>C8+C24</f>
        <v>1558033</v>
      </c>
      <c r="D38" s="26">
        <f t="shared" ref="D38:E38" si="1">D8+D24</f>
        <v>1617121</v>
      </c>
      <c r="E38" s="26">
        <f t="shared" si="1"/>
        <v>1486077</v>
      </c>
      <c r="F38" s="27">
        <f>F8+F24</f>
        <v>6294693.1699999999</v>
      </c>
    </row>
  </sheetData>
  <pageMargins left="0.7" right="0.7" top="0.75" bottom="0.75" header="0.3" footer="0.3"/>
  <ignoredErrors>
    <ignoredError sqref="B8 C8:F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25</v>
      </c>
      <c r="B1" s="3"/>
      <c r="C1" s="9"/>
      <c r="D1" s="9"/>
      <c r="E1" s="9"/>
      <c r="F1" s="9"/>
    </row>
    <row r="2" spans="1:6" ht="15.5" x14ac:dyDescent="0.35">
      <c r="A2" s="2" t="s">
        <v>24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1137461</v>
      </c>
      <c r="C8" s="29">
        <f>SUM(C9:C11)</f>
        <v>1057610</v>
      </c>
      <c r="D8" s="29">
        <f>SUM(D9:D11)</f>
        <v>1046973</v>
      </c>
      <c r="E8" s="29">
        <f t="shared" ref="E8" si="0">SUM(E9:E11)</f>
        <v>1042464</v>
      </c>
      <c r="F8" s="30">
        <f>SUM(B8:E8)</f>
        <v>4284508</v>
      </c>
    </row>
    <row r="9" spans="1:6" x14ac:dyDescent="0.35">
      <c r="A9" s="8" t="s">
        <v>8</v>
      </c>
      <c r="B9" s="16">
        <f>180958+1021+172559+945+191324+1011</f>
        <v>547818</v>
      </c>
      <c r="C9" s="17">
        <f>180422+694+155312+538+175311+425</f>
        <v>512702</v>
      </c>
      <c r="D9" s="18">
        <f>204226+483+178486+316+124073+549</f>
        <v>508133</v>
      </c>
      <c r="E9" s="18">
        <f>137344+469+174036+730+226119+884</f>
        <v>539582</v>
      </c>
      <c r="F9" s="19">
        <f t="shared" ref="F9:F20" si="1">SUM(B9:E9)</f>
        <v>2108235</v>
      </c>
    </row>
    <row r="10" spans="1:6" x14ac:dyDescent="0.35">
      <c r="A10" s="8" t="s">
        <v>9</v>
      </c>
      <c r="B10" s="16">
        <f>202233+1231+171476+1133+195910+1135</f>
        <v>573118</v>
      </c>
      <c r="C10" s="17">
        <f>192908+874+163175+674+170218+607</f>
        <v>528456</v>
      </c>
      <c r="D10" s="18">
        <f>211499+668+191695+498+119367+740</f>
        <v>524467</v>
      </c>
      <c r="E10" s="18">
        <f>132512+721+164887+963+190443+896</f>
        <v>490422</v>
      </c>
      <c r="F10" s="19">
        <f t="shared" si="1"/>
        <v>2116463</v>
      </c>
    </row>
    <row r="11" spans="1:6" x14ac:dyDescent="0.35">
      <c r="A11" s="8" t="s">
        <v>10</v>
      </c>
      <c r="B11" s="16">
        <f>5223+57+5255+35+5916+39</f>
        <v>16525</v>
      </c>
      <c r="C11" s="17">
        <f>5484+9+5035+5+5805+114</f>
        <v>16452</v>
      </c>
      <c r="D11" s="18">
        <f>4542+88+5381+102+4222+38</f>
        <v>14373</v>
      </c>
      <c r="E11" s="18">
        <f>3132+29+4208+105+4888+98</f>
        <v>12460</v>
      </c>
      <c r="F11" s="19">
        <f t="shared" si="1"/>
        <v>59810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48+33+60+54+46+34</f>
        <v>275</v>
      </c>
      <c r="C14" s="18">
        <f>45+34+46+30+46+22</f>
        <v>223</v>
      </c>
      <c r="D14" s="18">
        <f>38+33+37+25+43+32</f>
        <v>208</v>
      </c>
      <c r="E14" s="18">
        <f>42+25+60+34+80+50</f>
        <v>291</v>
      </c>
      <c r="F14" s="19">
        <f t="shared" si="1"/>
        <v>997</v>
      </c>
    </row>
    <row r="15" spans="1:6" x14ac:dyDescent="0.35">
      <c r="A15" s="8" t="s">
        <v>12</v>
      </c>
      <c r="B15" s="16">
        <f>388+70+416+53+470+33</f>
        <v>1430</v>
      </c>
      <c r="C15" s="18">
        <f>541+47+535+63+449+50</f>
        <v>1685</v>
      </c>
      <c r="D15" s="18">
        <f>390+46+360+44+406+35</f>
        <v>1281</v>
      </c>
      <c r="E15" s="18">
        <f>465+37+482+22+489+14</f>
        <v>1509</v>
      </c>
      <c r="F15" s="19">
        <f t="shared" si="1"/>
        <v>5905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11626</v>
      </c>
      <c r="C17" s="29">
        <f t="shared" ref="C17:E17" si="2">SUM(C18:C20)</f>
        <v>10127</v>
      </c>
      <c r="D17" s="29">
        <f t="shared" si="2"/>
        <v>9483</v>
      </c>
      <c r="E17" s="29">
        <f t="shared" si="2"/>
        <v>10284</v>
      </c>
      <c r="F17" s="30">
        <f t="shared" si="1"/>
        <v>41520</v>
      </c>
    </row>
    <row r="18" spans="1:6" x14ac:dyDescent="0.35">
      <c r="A18" s="34" t="s">
        <v>16</v>
      </c>
      <c r="B18" s="35">
        <f>2815+2546+2684</f>
        <v>8045</v>
      </c>
      <c r="C18" s="36">
        <f>2353+1981+2183</f>
        <v>6517</v>
      </c>
      <c r="D18" s="36">
        <f>2364+2060+1379</f>
        <v>5803</v>
      </c>
      <c r="E18" s="36">
        <f>1540+1926+2385</f>
        <v>5851</v>
      </c>
      <c r="F18" s="37">
        <f>SUM(B18:E18)</f>
        <v>26216</v>
      </c>
    </row>
    <row r="19" spans="1:6" x14ac:dyDescent="0.35">
      <c r="A19" s="8" t="s">
        <v>17</v>
      </c>
      <c r="B19" s="16">
        <f>69+72+208</f>
        <v>349</v>
      </c>
      <c r="C19" s="18">
        <f>299+368+354</f>
        <v>1021</v>
      </c>
      <c r="D19" s="18">
        <f>419+407+373</f>
        <v>1199</v>
      </c>
      <c r="E19" s="18">
        <f>381+508+647</f>
        <v>1536</v>
      </c>
      <c r="F19" s="19">
        <f t="shared" si="1"/>
        <v>4105</v>
      </c>
    </row>
    <row r="20" spans="1:6" x14ac:dyDescent="0.35">
      <c r="A20" s="8" t="s">
        <v>18</v>
      </c>
      <c r="B20" s="16">
        <f>375+14+756+296+8+666+405+23+689</f>
        <v>3232</v>
      </c>
      <c r="C20" s="18">
        <f>314+11+627+271+14+577+211+39+525</f>
        <v>2589</v>
      </c>
      <c r="D20" s="18">
        <f>242+91+547+220+23+506+228+36+588</f>
        <v>2481</v>
      </c>
      <c r="E20" s="18">
        <f>270+12+585+289+40+693+349+26+633</f>
        <v>2897</v>
      </c>
      <c r="F20" s="19">
        <f t="shared" si="1"/>
        <v>11199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350875</v>
      </c>
      <c r="C24" s="29">
        <f t="shared" ref="C24:E24" si="3">SUM(C25:C27)</f>
        <v>415877</v>
      </c>
      <c r="D24" s="29">
        <f t="shared" si="3"/>
        <v>481037</v>
      </c>
      <c r="E24" s="29">
        <f t="shared" si="3"/>
        <v>393643</v>
      </c>
      <c r="F24" s="30">
        <f>SUM(B24:E24)</f>
        <v>1641432</v>
      </c>
    </row>
    <row r="25" spans="1:6" x14ac:dyDescent="0.35">
      <c r="A25" s="8" t="s">
        <v>8</v>
      </c>
      <c r="B25" s="16">
        <f>59197+562+46004+647+56580+509</f>
        <v>163499</v>
      </c>
      <c r="C25" s="18">
        <f>64613+556+57786+557+68641+426</f>
        <v>192579</v>
      </c>
      <c r="D25" s="18">
        <f>80805+632+86427+759+59530+502</f>
        <v>228655</v>
      </c>
      <c r="E25" s="18">
        <f>62091+671+59881+441+77675+745</f>
        <v>201504</v>
      </c>
      <c r="F25" s="19">
        <f t="shared" ref="F25:F31" si="4">SUM(B25:E25)</f>
        <v>786237</v>
      </c>
    </row>
    <row r="26" spans="1:6" x14ac:dyDescent="0.35">
      <c r="A26" s="8" t="s">
        <v>9</v>
      </c>
      <c r="B26" s="16">
        <f>70186+567+49364+546+60466+402</f>
        <v>181531</v>
      </c>
      <c r="C26" s="18">
        <f>71441+441+70732+512+70587+338</f>
        <v>214051</v>
      </c>
      <c r="D26" s="18">
        <f>93952+501+92308+777+53918+405</f>
        <v>241861</v>
      </c>
      <c r="E26" s="18">
        <f>57791+656+57193+464+62890+452</f>
        <v>179446</v>
      </c>
      <c r="F26" s="19">
        <f t="shared" si="4"/>
        <v>816889</v>
      </c>
    </row>
    <row r="27" spans="1:6" x14ac:dyDescent="0.35">
      <c r="A27" s="8" t="s">
        <v>10</v>
      </c>
      <c r="B27" s="16">
        <f>2277+1846+1713+9</f>
        <v>5845</v>
      </c>
      <c r="C27" s="18">
        <f>3269+2837+3105+36</f>
        <v>9247</v>
      </c>
      <c r="D27" s="18">
        <f>4103+3589+3+2808+18</f>
        <v>10521</v>
      </c>
      <c r="E27" s="18">
        <f>4252+95+4565+3781</f>
        <v>12693</v>
      </c>
      <c r="F27" s="19">
        <f t="shared" si="4"/>
        <v>38306</v>
      </c>
    </row>
    <row r="28" spans="1:6" x14ac:dyDescent="0.35">
      <c r="A28" s="8" t="s">
        <v>14</v>
      </c>
      <c r="B28" s="16">
        <f>101+89+107+92+121+100</f>
        <v>610</v>
      </c>
      <c r="C28" s="18">
        <f>115+102+131+119+120+103</f>
        <v>690</v>
      </c>
      <c r="D28" s="18">
        <f>113+97+111+97+108+94</f>
        <v>620</v>
      </c>
      <c r="E28" s="18">
        <f>124+108+113+98+124+107</f>
        <v>674</v>
      </c>
      <c r="F28" s="19">
        <f t="shared" si="4"/>
        <v>2594</v>
      </c>
    </row>
    <row r="29" spans="1:6" x14ac:dyDescent="0.35">
      <c r="A29" s="8" t="s">
        <v>13</v>
      </c>
      <c r="B29" s="16">
        <f>43+27+45+31+49+31</f>
        <v>226</v>
      </c>
      <c r="C29" s="18">
        <f>49+33+58+45+54+39</f>
        <v>278</v>
      </c>
      <c r="D29" s="18">
        <f>39+24+39+26+39+26</f>
        <v>193</v>
      </c>
      <c r="E29" s="18">
        <f>43+30+47+33+39+25</f>
        <v>217</v>
      </c>
      <c r="F29" s="19">
        <f t="shared" si="4"/>
        <v>914</v>
      </c>
    </row>
    <row r="30" spans="1:6" x14ac:dyDescent="0.35">
      <c r="A30" s="8" t="s">
        <v>11</v>
      </c>
      <c r="B30" s="16">
        <f>404+269+464+335+505+343</f>
        <v>2320</v>
      </c>
      <c r="C30" s="18">
        <f>517+373+545+368+614+444</f>
        <v>2861</v>
      </c>
      <c r="D30" s="18">
        <f>558+363+507+353+472+313</f>
        <v>2566</v>
      </c>
      <c r="E30" s="18">
        <f>681+473+629+443+670+444</f>
        <v>3340</v>
      </c>
      <c r="F30" s="19">
        <f t="shared" si="4"/>
        <v>11087</v>
      </c>
    </row>
    <row r="31" spans="1:6" x14ac:dyDescent="0.35">
      <c r="A31" s="8" t="s">
        <v>12</v>
      </c>
      <c r="B31" s="16">
        <f>302+129+367+217+365+205</f>
        <v>1585</v>
      </c>
      <c r="C31" s="18">
        <f>377+184+396+193+564+230</f>
        <v>1944</v>
      </c>
      <c r="D31" s="18">
        <f>459+154+441+184+486+216</f>
        <v>1940</v>
      </c>
      <c r="E31" s="18">
        <f>503+242+532+226+399+175</f>
        <v>2077</v>
      </c>
      <c r="F31" s="19">
        <f t="shared" si="4"/>
        <v>7546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5786</v>
      </c>
      <c r="C33" s="29">
        <f t="shared" ref="C33:E33" si="5">SUM(C34:C36)</f>
        <v>5776</v>
      </c>
      <c r="D33" s="29">
        <f t="shared" si="5"/>
        <v>6292</v>
      </c>
      <c r="E33" s="29">
        <f t="shared" si="5"/>
        <v>5768</v>
      </c>
      <c r="F33" s="30">
        <f>SUM(B33:E33)</f>
        <v>23622</v>
      </c>
    </row>
    <row r="34" spans="1:6" x14ac:dyDescent="0.35">
      <c r="A34" s="8" t="s">
        <v>16</v>
      </c>
      <c r="B34" s="16">
        <f>1354+1157+1339</f>
        <v>3850</v>
      </c>
      <c r="C34" s="18">
        <f>1351+1350+1322</f>
        <v>4023</v>
      </c>
      <c r="D34" s="18">
        <f>1521+1563+1236</f>
        <v>4320</v>
      </c>
      <c r="E34" s="18">
        <f>1255+1210+1442</f>
        <v>3907</v>
      </c>
      <c r="F34" s="19">
        <f t="shared" ref="F34:F36" si="6">SUM(B34:E34)</f>
        <v>16100</v>
      </c>
    </row>
    <row r="35" spans="1:6" x14ac:dyDescent="0.35">
      <c r="A35" s="8" t="s">
        <v>17</v>
      </c>
      <c r="B35" s="16">
        <f>6</f>
        <v>6</v>
      </c>
      <c r="C35" s="16">
        <f>0</f>
        <v>0</v>
      </c>
      <c r="D35" s="16">
        <v>0</v>
      </c>
      <c r="E35" s="18">
        <v>1</v>
      </c>
      <c r="F35" s="19">
        <f t="shared" si="6"/>
        <v>7</v>
      </c>
    </row>
    <row r="36" spans="1:6" x14ac:dyDescent="0.35">
      <c r="A36" s="8" t="s">
        <v>18</v>
      </c>
      <c r="B36" s="16">
        <f>22+235+325+16+292+366+11+289+374</f>
        <v>1930</v>
      </c>
      <c r="C36" s="18">
        <f>24+132+360+12+266+326+3+295+335</f>
        <v>1753</v>
      </c>
      <c r="D36" s="18">
        <f>367+288+5+314+267+306+425</f>
        <v>1972</v>
      </c>
      <c r="E36" s="18">
        <f>34+279+302+4+461+310+4+130+336</f>
        <v>1860</v>
      </c>
      <c r="F36" s="19">
        <f t="shared" si="6"/>
        <v>7515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1488336</v>
      </c>
      <c r="C38" s="26">
        <f>C8+C24</f>
        <v>1473487</v>
      </c>
      <c r="D38" s="26">
        <f t="shared" ref="D38:E38" si="7">D8+D24</f>
        <v>1528010</v>
      </c>
      <c r="E38" s="26">
        <f t="shared" si="7"/>
        <v>1436107</v>
      </c>
      <c r="F38" s="27">
        <f>F8+F24</f>
        <v>5925940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27</v>
      </c>
      <c r="B1" s="3"/>
      <c r="C1" s="9"/>
      <c r="D1" s="9"/>
      <c r="E1" s="9"/>
      <c r="F1" s="9"/>
    </row>
    <row r="2" spans="1:6" ht="15.5" x14ac:dyDescent="0.35">
      <c r="A2" s="2" t="s">
        <v>26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1110959</v>
      </c>
      <c r="C8" s="29">
        <f>SUM(C9:C11)</f>
        <v>981517</v>
      </c>
      <c r="D8" s="29">
        <f>SUM(D9:D11)</f>
        <v>937794</v>
      </c>
      <c r="E8" s="29">
        <f t="shared" ref="E8" si="0">SUM(E9:E11)</f>
        <v>922180</v>
      </c>
      <c r="F8" s="30">
        <f>SUM(B8:E8)</f>
        <v>3952450</v>
      </c>
    </row>
    <row r="9" spans="1:6" x14ac:dyDescent="0.35">
      <c r="A9" s="8" t="s">
        <v>8</v>
      </c>
      <c r="B9" s="16">
        <f>171158+723+167002+645+195219+875</f>
        <v>535622</v>
      </c>
      <c r="C9" s="17">
        <f>166210+609+144390+665+160372+416</f>
        <v>472662</v>
      </c>
      <c r="D9" s="18">
        <f>185758+480+155359+309+111506+447</f>
        <v>453859</v>
      </c>
      <c r="E9" s="18">
        <f>120499+442+153384+777+203735+885</f>
        <v>479722</v>
      </c>
      <c r="F9" s="19">
        <f t="shared" ref="F9:F20" si="1">SUM(B9:E9)</f>
        <v>1941865</v>
      </c>
    </row>
    <row r="10" spans="1:6" x14ac:dyDescent="0.35">
      <c r="A10" s="8" t="s">
        <v>9</v>
      </c>
      <c r="B10" s="16">
        <f>192124+1058+169178+982+195295+1145</f>
        <v>559782</v>
      </c>
      <c r="C10" s="17">
        <f>182135+944+154794+774+158400+609</f>
        <v>497656</v>
      </c>
      <c r="D10" s="18">
        <f>190616+705+169857+411+108781+576</f>
        <v>470946</v>
      </c>
      <c r="E10" s="18">
        <f>115827+790+145746+1041+166587+1016</f>
        <v>431007</v>
      </c>
      <c r="F10" s="19">
        <f t="shared" si="1"/>
        <v>1959391</v>
      </c>
    </row>
    <row r="11" spans="1:6" x14ac:dyDescent="0.35">
      <c r="A11" s="8" t="s">
        <v>10</v>
      </c>
      <c r="B11" s="16">
        <f>5261+21+5348+4902+23</f>
        <v>15555</v>
      </c>
      <c r="C11" s="17">
        <f>3670+5+3453+25+4040+6</f>
        <v>11199</v>
      </c>
      <c r="D11" s="18">
        <f>4871+5+3871+16+4223+3</f>
        <v>12989</v>
      </c>
      <c r="E11" s="18">
        <f>3484+24+3943+9+3975+16</f>
        <v>11451</v>
      </c>
      <c r="F11" s="19">
        <f t="shared" si="1"/>
        <v>51194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32+33+39+32+44+29+3</f>
        <v>212</v>
      </c>
      <c r="C14" s="18">
        <f>31+28+49+39+51+27</f>
        <v>225</v>
      </c>
      <c r="D14" s="18">
        <f>41+32+37+26+45+26</f>
        <v>207</v>
      </c>
      <c r="E14" s="18">
        <f>56+34+48+27+71+40</f>
        <v>276</v>
      </c>
      <c r="F14" s="19">
        <f t="shared" si="1"/>
        <v>920</v>
      </c>
    </row>
    <row r="15" spans="1:6" x14ac:dyDescent="0.35">
      <c r="A15" s="8" t="s">
        <v>12</v>
      </c>
      <c r="B15" s="16">
        <f>342+23+396+36+470+48</f>
        <v>1315</v>
      </c>
      <c r="C15" s="18">
        <f>490+64+545+70+575+32</f>
        <v>1776</v>
      </c>
      <c r="D15" s="18">
        <f>522+36+506+33+444+37</f>
        <v>1578</v>
      </c>
      <c r="E15" s="18">
        <f>444+29+408+36+367+30</f>
        <v>1314</v>
      </c>
      <c r="F15" s="19">
        <f t="shared" si="1"/>
        <v>5983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12363</v>
      </c>
      <c r="C17" s="29">
        <f t="shared" ref="C17:E17" si="2">SUM(C18:C20)</f>
        <v>10419</v>
      </c>
      <c r="D17" s="29">
        <f t="shared" si="2"/>
        <v>8924</v>
      </c>
      <c r="E17" s="29">
        <f t="shared" si="2"/>
        <v>9745</v>
      </c>
      <c r="F17" s="30">
        <f t="shared" si="1"/>
        <v>41451</v>
      </c>
    </row>
    <row r="18" spans="1:6" x14ac:dyDescent="0.35">
      <c r="A18" s="34" t="s">
        <v>16</v>
      </c>
      <c r="B18" s="35">
        <f>2781+2629+2885</f>
        <v>8295</v>
      </c>
      <c r="C18" s="36">
        <f>2625+2159+2311</f>
        <v>7095</v>
      </c>
      <c r="D18" s="36">
        <f>2527+2235+1641</f>
        <v>6403</v>
      </c>
      <c r="E18" s="36">
        <f>1801+2143+2760</f>
        <v>6704</v>
      </c>
      <c r="F18" s="37">
        <f>SUM(B18:E18)</f>
        <v>28497</v>
      </c>
    </row>
    <row r="19" spans="1:6" x14ac:dyDescent="0.35">
      <c r="A19" s="8" t="s">
        <v>17</v>
      </c>
      <c r="B19" s="16">
        <f>62+47+57</f>
        <v>166</v>
      </c>
      <c r="C19" s="18">
        <f>37+41+86</f>
        <v>164</v>
      </c>
      <c r="D19" s="18">
        <f>62+72+77</f>
        <v>211</v>
      </c>
      <c r="E19" s="18">
        <f>64+72+65</f>
        <v>201</v>
      </c>
      <c r="F19" s="19">
        <f t="shared" si="1"/>
        <v>742</v>
      </c>
    </row>
    <row r="20" spans="1:6" x14ac:dyDescent="0.35">
      <c r="A20" s="8" t="s">
        <v>18</v>
      </c>
      <c r="B20" s="16">
        <f>450+14+778+447+61+697+572+15+868</f>
        <v>3902</v>
      </c>
      <c r="C20" s="18">
        <f>464+50+733+366+24+651+292+34+546</f>
        <v>3160</v>
      </c>
      <c r="D20" s="18">
        <f>342+31+554+194+32+390+228+45+494</f>
        <v>2310</v>
      </c>
      <c r="E20" s="18">
        <f>248+30+549+328+38+655+334+25+633</f>
        <v>2840</v>
      </c>
      <c r="F20" s="19">
        <f t="shared" si="1"/>
        <v>12212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358810</v>
      </c>
      <c r="C24" s="29">
        <f t="shared" ref="C24:E24" si="3">SUM(C25:C27)</f>
        <v>394459</v>
      </c>
      <c r="D24" s="29">
        <f t="shared" si="3"/>
        <v>478257</v>
      </c>
      <c r="E24" s="29">
        <f t="shared" si="3"/>
        <v>362663</v>
      </c>
      <c r="F24" s="30">
        <f>SUM(B24:E24)</f>
        <v>1594189</v>
      </c>
    </row>
    <row r="25" spans="1:6" x14ac:dyDescent="0.35">
      <c r="A25" s="8" t="s">
        <v>8</v>
      </c>
      <c r="B25" s="16">
        <f>57286+391+49341+367+61148+420</f>
        <v>168953</v>
      </c>
      <c r="C25" s="18">
        <f>55558+491+56938+492+65719+574</f>
        <v>179772</v>
      </c>
      <c r="D25" s="18">
        <f>80721+480+84849+424+60134+652</f>
        <v>227260</v>
      </c>
      <c r="E25" s="18">
        <f>54895+431+54738+782+78326+496</f>
        <v>189668</v>
      </c>
      <c r="F25" s="19">
        <f t="shared" ref="F25:F31" si="4">SUM(B25:E25)</f>
        <v>765653</v>
      </c>
    </row>
    <row r="26" spans="1:6" x14ac:dyDescent="0.35">
      <c r="A26" s="8" t="s">
        <v>9</v>
      </c>
      <c r="B26" s="16">
        <f>66740+519+52493+313+64274+404</f>
        <v>184743</v>
      </c>
      <c r="C26" s="18">
        <f>65274+350+69863+366+68960+406</f>
        <v>205219</v>
      </c>
      <c r="D26" s="18">
        <f>90760+386+91161+379+55437+505</f>
        <v>238628</v>
      </c>
      <c r="E26" s="18">
        <f>50941+362+52803+693+61440+380</f>
        <v>166619</v>
      </c>
      <c r="F26" s="19">
        <f t="shared" si="4"/>
        <v>795209</v>
      </c>
    </row>
    <row r="27" spans="1:6" x14ac:dyDescent="0.35">
      <c r="A27" s="8" t="s">
        <v>10</v>
      </c>
      <c r="B27" s="16">
        <f>1682+1437+1995</f>
        <v>5114</v>
      </c>
      <c r="C27" s="18">
        <f>2348+3932+3188</f>
        <v>9468</v>
      </c>
      <c r="D27" s="18">
        <f>3848+4694+37+3544+246</f>
        <v>12369</v>
      </c>
      <c r="E27" s="18">
        <f>2320+1973+2+2081</f>
        <v>6376</v>
      </c>
      <c r="F27" s="19">
        <f t="shared" si="4"/>
        <v>33327</v>
      </c>
    </row>
    <row r="28" spans="1:6" x14ac:dyDescent="0.35">
      <c r="A28" s="8" t="s">
        <v>14</v>
      </c>
      <c r="B28" s="16">
        <f>99+78+97+74+127+106</f>
        <v>581</v>
      </c>
      <c r="C28" s="18">
        <f>117+97+120+99+117+100</f>
        <v>650</v>
      </c>
      <c r="D28" s="18">
        <f>106+89+121+100+120+101</f>
        <v>637</v>
      </c>
      <c r="E28" s="18">
        <f>120+101+123+101+127+115</f>
        <v>687</v>
      </c>
      <c r="F28" s="19">
        <f t="shared" si="4"/>
        <v>2555</v>
      </c>
    </row>
    <row r="29" spans="1:6" x14ac:dyDescent="0.35">
      <c r="A29" s="8" t="s">
        <v>13</v>
      </c>
      <c r="B29" s="16">
        <f>47+37+45+35+46+35</f>
        <v>245</v>
      </c>
      <c r="C29" s="18">
        <f>44+34+47+37+46+33</f>
        <v>241</v>
      </c>
      <c r="D29" s="18">
        <f>38+27+41+27+44+30</f>
        <v>207</v>
      </c>
      <c r="E29" s="18">
        <f>40+29+54+38+57+39</f>
        <v>257</v>
      </c>
      <c r="F29" s="19">
        <f t="shared" si="4"/>
        <v>950</v>
      </c>
    </row>
    <row r="30" spans="1:6" x14ac:dyDescent="0.35">
      <c r="A30" s="8" t="s">
        <v>11</v>
      </c>
      <c r="B30" s="16">
        <f>395+274+525+353+506+365</f>
        <v>2418</v>
      </c>
      <c r="C30" s="18">
        <f>452+301+469+309+3+528+348+5</f>
        <v>2415</v>
      </c>
      <c r="D30" s="18">
        <f>498+352+45+437+306+483+314</f>
        <v>2435</v>
      </c>
      <c r="E30" s="18">
        <f>521+367+482+305+630+455</f>
        <v>2760</v>
      </c>
      <c r="F30" s="19">
        <f t="shared" si="4"/>
        <v>10028</v>
      </c>
    </row>
    <row r="31" spans="1:6" x14ac:dyDescent="0.35">
      <c r="A31" s="8" t="s">
        <v>12</v>
      </c>
      <c r="B31" s="16">
        <f>323+153+329+154+377+181</f>
        <v>1517</v>
      </c>
      <c r="C31" s="18">
        <f>371+134+409+184+410+166</f>
        <v>1674</v>
      </c>
      <c r="D31" s="18">
        <f>466+172+451+201+317+138</f>
        <v>1745</v>
      </c>
      <c r="E31" s="18">
        <f>390+170+394+170+371+181</f>
        <v>1676</v>
      </c>
      <c r="F31" s="19">
        <f t="shared" si="4"/>
        <v>6612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6002</v>
      </c>
      <c r="C33" s="29">
        <f t="shared" ref="C33:E33" si="5">SUM(C34:C36)</f>
        <v>6001</v>
      </c>
      <c r="D33" s="29">
        <f t="shared" si="5"/>
        <v>6035</v>
      </c>
      <c r="E33" s="29">
        <f t="shared" si="5"/>
        <v>5304</v>
      </c>
      <c r="F33" s="30">
        <f>SUM(B33:E33)</f>
        <v>23342</v>
      </c>
    </row>
    <row r="34" spans="1:6" x14ac:dyDescent="0.35">
      <c r="A34" s="8" t="s">
        <v>16</v>
      </c>
      <c r="B34" s="16">
        <f>1395+1277+1387</f>
        <v>4059</v>
      </c>
      <c r="C34" s="18">
        <f>1361+1439+1492</f>
        <v>4292</v>
      </c>
      <c r="D34" s="18">
        <f>1622+1518+1267</f>
        <v>4407</v>
      </c>
      <c r="E34" s="18">
        <f>1211+1225+1290</f>
        <v>3726</v>
      </c>
      <c r="F34" s="19">
        <f t="shared" ref="F34:F36" si="6">SUM(B34:E34)</f>
        <v>16484</v>
      </c>
    </row>
    <row r="35" spans="1:6" x14ac:dyDescent="0.35">
      <c r="A35" s="8" t="s">
        <v>17</v>
      </c>
      <c r="B35" s="16">
        <f>2</f>
        <v>2</v>
      </c>
      <c r="C35" s="16">
        <v>6</v>
      </c>
      <c r="D35" s="16">
        <f>45</f>
        <v>45</v>
      </c>
      <c r="E35" s="18">
        <v>0</v>
      </c>
      <c r="F35" s="19">
        <f t="shared" si="6"/>
        <v>53</v>
      </c>
    </row>
    <row r="36" spans="1:6" x14ac:dyDescent="0.35">
      <c r="A36" s="8" t="s">
        <v>18</v>
      </c>
      <c r="B36" s="16">
        <f>14+268+294+24+359+292+34+329+327</f>
        <v>1941</v>
      </c>
      <c r="C36" s="18">
        <f>10+273+319+6+212+324+10+283+266</f>
        <v>1703</v>
      </c>
      <c r="D36" s="18">
        <f>15+255+280+32+212+230+14+263+282</f>
        <v>1583</v>
      </c>
      <c r="E36" s="18">
        <f>14+173+353+134+99+368+4+126+307</f>
        <v>1578</v>
      </c>
      <c r="F36" s="19">
        <f t="shared" si="6"/>
        <v>6805</v>
      </c>
    </row>
    <row r="37" spans="1:6" x14ac:dyDescent="0.35">
      <c r="A37" s="8"/>
      <c r="B37" s="20"/>
      <c r="C37" s="18"/>
      <c r="D37" s="18">
        <f>1211+1225+1290</f>
        <v>3726</v>
      </c>
      <c r="E37" s="18"/>
      <c r="F37" s="21"/>
    </row>
    <row r="38" spans="1:6" ht="15" thickBot="1" x14ac:dyDescent="0.4">
      <c r="A38" s="25" t="s">
        <v>20</v>
      </c>
      <c r="B38" s="26">
        <f>B8+B24</f>
        <v>1469769</v>
      </c>
      <c r="C38" s="26">
        <f>C8+C24</f>
        <v>1375976</v>
      </c>
      <c r="D38" s="26">
        <f t="shared" ref="D38:E38" si="7">D8+D24</f>
        <v>1416051</v>
      </c>
      <c r="E38" s="26">
        <f t="shared" si="7"/>
        <v>1284843</v>
      </c>
      <c r="F38" s="27">
        <f>F8+F24</f>
        <v>5546639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29</v>
      </c>
      <c r="B1" s="3"/>
      <c r="C1" s="9"/>
      <c r="D1" s="9"/>
      <c r="E1" s="9"/>
      <c r="F1" s="9"/>
    </row>
    <row r="2" spans="1:6" ht="15.5" x14ac:dyDescent="0.35">
      <c r="A2" s="2" t="s">
        <v>28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1061895</v>
      </c>
      <c r="C8" s="29">
        <f>SUM(C9:C11)</f>
        <v>968028</v>
      </c>
      <c r="D8" s="29">
        <f>SUM(D9:D11)</f>
        <v>901911</v>
      </c>
      <c r="E8" s="29">
        <f t="shared" ref="E8" si="0">SUM(E9:E11)</f>
        <v>868781</v>
      </c>
      <c r="F8" s="30">
        <f>SUM(B8:E8)</f>
        <v>3800615</v>
      </c>
    </row>
    <row r="9" spans="1:6" x14ac:dyDescent="0.35">
      <c r="A9" s="8" t="s">
        <v>8</v>
      </c>
      <c r="B9" s="16">
        <f>162455+853+159459+859+186375+906</f>
        <v>510907</v>
      </c>
      <c r="C9" s="17">
        <f>164674+735+144772+547+154808+508</f>
        <v>466044</v>
      </c>
      <c r="D9" s="18">
        <f>175216+493+152762+381+102934+508</f>
        <v>432294</v>
      </c>
      <c r="E9" s="18">
        <f>117585+444+142120+719+191778+791</f>
        <v>453437</v>
      </c>
      <c r="F9" s="19">
        <f t="shared" ref="F9:F20" si="1">SUM(B9:E9)</f>
        <v>1862682</v>
      </c>
    </row>
    <row r="10" spans="1:6" x14ac:dyDescent="0.35">
      <c r="A10" s="8" t="s">
        <v>9</v>
      </c>
      <c r="B10" s="16">
        <f>181753+1026+158452+971+190662+1104</f>
        <v>533968</v>
      </c>
      <c r="C10" s="17">
        <f>180775+864+153208+700+150514+676</f>
        <v>486737</v>
      </c>
      <c r="D10" s="18">
        <f>178881+685+167900+514+104098+593</f>
        <v>452671</v>
      </c>
      <c r="E10" s="18">
        <f>110451+703+136728+969+154000+992</f>
        <v>403843</v>
      </c>
      <c r="F10" s="19">
        <f t="shared" si="1"/>
        <v>1877219</v>
      </c>
    </row>
    <row r="11" spans="1:6" x14ac:dyDescent="0.35">
      <c r="A11" s="8" t="s">
        <v>10</v>
      </c>
      <c r="B11" s="16">
        <f>6242+17+5412+4+5319+26</f>
        <v>17020</v>
      </c>
      <c r="C11" s="17">
        <f>5301+4+4311+1+5610+20</f>
        <v>15247</v>
      </c>
      <c r="D11" s="18">
        <f>5347+4+6712+15+4858+10</f>
        <v>16946</v>
      </c>
      <c r="E11" s="18">
        <f>4537+16+3118+12+3794+24</f>
        <v>11501</v>
      </c>
      <c r="F11" s="19">
        <f t="shared" si="1"/>
        <v>60714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32+38+27+33+43+27</f>
        <v>200</v>
      </c>
      <c r="C14" s="18">
        <f>35+28+36+33+35+39</f>
        <v>206</v>
      </c>
      <c r="D14" s="18">
        <f>44+32+32+32+25+34</f>
        <v>199</v>
      </c>
      <c r="E14" s="18">
        <f>36+36+69+54+121+53</f>
        <v>369</v>
      </c>
      <c r="F14" s="19">
        <f t="shared" si="1"/>
        <v>974</v>
      </c>
    </row>
    <row r="15" spans="1:6" x14ac:dyDescent="0.35">
      <c r="A15" s="8" t="s">
        <v>12</v>
      </c>
      <c r="B15" s="16">
        <f>441+38+416+31+587+52</f>
        <v>1565</v>
      </c>
      <c r="C15" s="18">
        <f>571+40+498+32+492+46</f>
        <v>1679</v>
      </c>
      <c r="D15" s="18">
        <f>456+48+353+34+272+32</f>
        <v>1195</v>
      </c>
      <c r="E15" s="18">
        <f>367+17+303+45+354+28</f>
        <v>1114</v>
      </c>
      <c r="F15" s="19">
        <f t="shared" si="1"/>
        <v>5553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12416</v>
      </c>
      <c r="C17" s="29">
        <f t="shared" ref="C17:E17" si="2">SUM(C18:C20)</f>
        <v>10521</v>
      </c>
      <c r="D17" s="29">
        <f t="shared" si="2"/>
        <v>9248</v>
      </c>
      <c r="E17" s="29">
        <f t="shared" si="2"/>
        <v>10362</v>
      </c>
      <c r="F17" s="30">
        <f t="shared" si="1"/>
        <v>42547</v>
      </c>
    </row>
    <row r="18" spans="1:6" x14ac:dyDescent="0.35">
      <c r="A18" s="34" t="s">
        <v>16</v>
      </c>
      <c r="B18" s="35">
        <f>2769+2489+2845</f>
        <v>8103</v>
      </c>
      <c r="C18" s="36">
        <f>2550+2219+2238</f>
        <v>7007</v>
      </c>
      <c r="D18" s="36">
        <f>2434+2230+1615</f>
        <v>6279</v>
      </c>
      <c r="E18" s="36">
        <f>1718+2158+2664</f>
        <v>6540</v>
      </c>
      <c r="F18" s="37">
        <f>SUM(B18:E18)</f>
        <v>27929</v>
      </c>
    </row>
    <row r="19" spans="1:6" x14ac:dyDescent="0.35">
      <c r="A19" s="8" t="s">
        <v>17</v>
      </c>
      <c r="B19" s="16">
        <f>35+20+57</f>
        <v>112</v>
      </c>
      <c r="C19" s="18">
        <f>43+14+44</f>
        <v>101</v>
      </c>
      <c r="D19" s="18">
        <f>31+32+29</f>
        <v>92</v>
      </c>
      <c r="E19" s="18">
        <f>24+40+60</f>
        <v>124</v>
      </c>
      <c r="F19" s="19">
        <f t="shared" si="1"/>
        <v>429</v>
      </c>
    </row>
    <row r="20" spans="1:6" x14ac:dyDescent="0.35">
      <c r="A20" s="8" t="s">
        <v>18</v>
      </c>
      <c r="B20" s="16">
        <f>502+32+880+533+8+743+587+79+837</f>
        <v>4201</v>
      </c>
      <c r="C20" s="18">
        <f>484+37+720+428+74+578+467+40+585</f>
        <v>3413</v>
      </c>
      <c r="D20" s="18">
        <f>468+58+542+371+46+477+351+56+508</f>
        <v>2877</v>
      </c>
      <c r="E20" s="18">
        <f>461+24+545+544+85+728+420+45+846</f>
        <v>3698</v>
      </c>
      <c r="F20" s="19">
        <f t="shared" si="1"/>
        <v>14189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329216</v>
      </c>
      <c r="C24" s="29">
        <f t="shared" ref="C24:E24" si="3">SUM(C25:C27)</f>
        <v>370229</v>
      </c>
      <c r="D24" s="29">
        <f t="shared" si="3"/>
        <v>378162</v>
      </c>
      <c r="E24" s="29">
        <f t="shared" si="3"/>
        <v>360145</v>
      </c>
      <c r="F24" s="30">
        <f>SUM(B24:E24)</f>
        <v>1437752</v>
      </c>
    </row>
    <row r="25" spans="1:6" x14ac:dyDescent="0.35">
      <c r="A25" s="8" t="s">
        <v>8</v>
      </c>
      <c r="B25" s="16">
        <f>53254+296+45723+543+54322+394</f>
        <v>154532</v>
      </c>
      <c r="C25" s="18">
        <f>55174+688+53635+436+61750+435</f>
        <v>172118</v>
      </c>
      <c r="D25" s="18">
        <f>79495+461+82928+356+57379+380</f>
        <v>220999</v>
      </c>
      <c r="E25" s="18">
        <f>56931+430+54802+451+74409+543</f>
        <v>187566</v>
      </c>
      <c r="F25" s="19">
        <f t="shared" ref="F25:F31" si="4">SUM(B25:E25)</f>
        <v>735215</v>
      </c>
    </row>
    <row r="26" spans="1:6" x14ac:dyDescent="0.35">
      <c r="A26" s="8" t="s">
        <v>9</v>
      </c>
      <c r="B26" s="16">
        <f>64028+354+47573+402+57004+359</f>
        <v>169720</v>
      </c>
      <c r="C26" s="18">
        <f>63648+787+64623+400+63301+263</f>
        <v>193022</v>
      </c>
      <c r="D26" s="18">
        <f>88+180+373+91827+315+55010+409</f>
        <v>148202</v>
      </c>
      <c r="E26" s="18">
        <f>53266+339+53182+328+59865+377</f>
        <v>167357</v>
      </c>
      <c r="F26" s="19">
        <f t="shared" si="4"/>
        <v>678301</v>
      </c>
    </row>
    <row r="27" spans="1:6" x14ac:dyDescent="0.35">
      <c r="A27" s="8" t="s">
        <v>10</v>
      </c>
      <c r="B27" s="16">
        <f>2224+1178+1562</f>
        <v>4964</v>
      </c>
      <c r="C27" s="18">
        <f>2100+1485+1504</f>
        <v>5089</v>
      </c>
      <c r="D27" s="18">
        <f>2685+13+3963+9+2284+7</f>
        <v>8961</v>
      </c>
      <c r="E27" s="18">
        <f>1759+7+2076+15+1351+14</f>
        <v>5222</v>
      </c>
      <c r="F27" s="19">
        <f t="shared" si="4"/>
        <v>24236</v>
      </c>
    </row>
    <row r="28" spans="1:6" x14ac:dyDescent="0.35">
      <c r="A28" s="8" t="s">
        <v>14</v>
      </c>
      <c r="B28" s="16">
        <f>127+113+109+97+125+109</f>
        <v>680</v>
      </c>
      <c r="C28" s="18">
        <f>140+126+120+104+133+116</f>
        <v>739</v>
      </c>
      <c r="D28">
        <f>133+117+119+97+125+107</f>
        <v>698</v>
      </c>
      <c r="E28" s="18">
        <f>139+122+150+130+165+149</f>
        <v>855</v>
      </c>
      <c r="F28" s="19">
        <f t="shared" si="4"/>
        <v>2972</v>
      </c>
    </row>
    <row r="29" spans="1:6" x14ac:dyDescent="0.35">
      <c r="A29" s="8" t="s">
        <v>13</v>
      </c>
      <c r="B29" s="16">
        <f>43+23+39+24+48+31</f>
        <v>208</v>
      </c>
      <c r="C29" s="18">
        <f>36+31+52+39+54+41</f>
        <v>253</v>
      </c>
      <c r="D29" s="18">
        <f>40+31+35+27+35+24</f>
        <v>192</v>
      </c>
      <c r="E29" s="18">
        <f>38+29+40+29+44+33</f>
        <v>213</v>
      </c>
      <c r="F29" s="19">
        <f t="shared" si="4"/>
        <v>866</v>
      </c>
    </row>
    <row r="30" spans="1:6" x14ac:dyDescent="0.35">
      <c r="A30" s="8" t="s">
        <v>11</v>
      </c>
      <c r="B30" s="16">
        <f>442+308+477+326+478+330</f>
        <v>2361</v>
      </c>
      <c r="C30" s="18">
        <f>511+372+431+283+524+379</f>
        <v>2500</v>
      </c>
      <c r="D30" s="18">
        <f>455+308+426+296+502+352</f>
        <v>2339</v>
      </c>
      <c r="E30" s="18">
        <f>418+268+466+306+9+593+412</f>
        <v>2472</v>
      </c>
      <c r="F30" s="19">
        <f t="shared" si="4"/>
        <v>9672</v>
      </c>
    </row>
    <row r="31" spans="1:6" x14ac:dyDescent="0.35">
      <c r="A31" s="8" t="s">
        <v>12</v>
      </c>
      <c r="B31" s="16">
        <f>316+110+324+130+474+179</f>
        <v>1533</v>
      </c>
      <c r="C31" s="18">
        <f>296+136+19+389+118+446+156</f>
        <v>1560</v>
      </c>
      <c r="D31" s="18">
        <f>564+168+454+172+412+144</f>
        <v>1914</v>
      </c>
      <c r="E31" s="18">
        <f>416+175+403+157+377+129</f>
        <v>1657</v>
      </c>
      <c r="F31" s="19">
        <f t="shared" si="4"/>
        <v>6664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6013</v>
      </c>
      <c r="C33" s="29">
        <f t="shared" ref="C33:E33" si="5">SUM(C34:C36)</f>
        <v>5864</v>
      </c>
      <c r="D33" s="29">
        <f t="shared" si="5"/>
        <v>6275</v>
      </c>
      <c r="E33" s="29">
        <f t="shared" si="5"/>
        <v>5873</v>
      </c>
      <c r="F33" s="30">
        <f>SUM(B33:E33)</f>
        <v>24025</v>
      </c>
    </row>
    <row r="34" spans="1:6" x14ac:dyDescent="0.35">
      <c r="A34" s="8" t="s">
        <v>16</v>
      </c>
      <c r="B34" s="16">
        <f>1335+1164+1308</f>
        <v>3807</v>
      </c>
      <c r="C34" s="18">
        <f>1315+1311+1387</f>
        <v>4013</v>
      </c>
      <c r="D34" s="18">
        <f>1558+1561+1348</f>
        <v>4467</v>
      </c>
      <c r="E34" s="18">
        <f>1282+1232+1405</f>
        <v>3919</v>
      </c>
      <c r="F34" s="19">
        <f t="shared" ref="F34:F36" si="6">SUM(B34:E34)</f>
        <v>16206</v>
      </c>
    </row>
    <row r="35" spans="1:6" x14ac:dyDescent="0.35">
      <c r="A35" s="8" t="s">
        <v>17</v>
      </c>
      <c r="B35" s="16">
        <v>0</v>
      </c>
      <c r="C35" s="16">
        <f>0</f>
        <v>0</v>
      </c>
      <c r="D35" s="16">
        <v>0</v>
      </c>
      <c r="E35" s="18">
        <v>0</v>
      </c>
      <c r="F35" s="19">
        <f t="shared" si="6"/>
        <v>0</v>
      </c>
    </row>
    <row r="36" spans="1:6" x14ac:dyDescent="0.35">
      <c r="A36" s="8" t="s">
        <v>18</v>
      </c>
      <c r="B36" s="16">
        <f>39+275+373+24+390+357+25+371+352</f>
        <v>2206</v>
      </c>
      <c r="C36" s="18">
        <f>25+241+390+10+310+387+4+222+262</f>
        <v>1851</v>
      </c>
      <c r="D36" s="18">
        <f>240+250+243+305+11+383+376</f>
        <v>1808</v>
      </c>
      <c r="E36" s="18">
        <f>6+220+388+10+261+442+22+183+422</f>
        <v>1954</v>
      </c>
      <c r="F36" s="19">
        <f t="shared" si="6"/>
        <v>7819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1391111</v>
      </c>
      <c r="C38" s="26">
        <f>C8+C24</f>
        <v>1338257</v>
      </c>
      <c r="D38" s="26">
        <f t="shared" ref="D38:E38" si="7">D8+D24</f>
        <v>1280073</v>
      </c>
      <c r="E38" s="26">
        <f t="shared" si="7"/>
        <v>1228926</v>
      </c>
      <c r="F38" s="27">
        <f>F8+F24</f>
        <v>5238367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31</v>
      </c>
      <c r="B1" s="3"/>
      <c r="C1" s="9"/>
      <c r="D1" s="9"/>
      <c r="E1" s="9"/>
      <c r="F1" s="9"/>
    </row>
    <row r="2" spans="1:6" ht="15.5" x14ac:dyDescent="0.35">
      <c r="A2" s="2" t="s">
        <v>30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981720</v>
      </c>
      <c r="C8" s="29">
        <f>SUM(C9:C11)</f>
        <v>920033</v>
      </c>
      <c r="D8" s="29">
        <f>SUM(D9:D11)</f>
        <v>880251</v>
      </c>
      <c r="E8" s="29">
        <f t="shared" ref="E8" si="0">SUM(E9:E11)</f>
        <v>851626</v>
      </c>
      <c r="F8" s="30">
        <f>SUM(B8:E8)</f>
        <v>3633630</v>
      </c>
    </row>
    <row r="9" spans="1:6" x14ac:dyDescent="0.35">
      <c r="A9" s="8" t="s">
        <v>8</v>
      </c>
      <c r="B9" s="16">
        <f>148984+824+145491+719+174518+878</f>
        <v>471414</v>
      </c>
      <c r="C9" s="17">
        <f>153652+653+140022+520+154285+354</f>
        <v>449486</v>
      </c>
      <c r="D9" s="18">
        <f>174644+461+153377+361+92838+340</f>
        <v>422021</v>
      </c>
      <c r="E9" s="18">
        <f>116195+426+142999+664+183045+750</f>
        <v>444079</v>
      </c>
      <c r="F9" s="19">
        <f t="shared" ref="F9:F20" si="1">SUM(B9:E9)</f>
        <v>1787000</v>
      </c>
    </row>
    <row r="10" spans="1:6" x14ac:dyDescent="0.35">
      <c r="A10" s="8" t="s">
        <v>9</v>
      </c>
      <c r="B10" s="16">
        <f>167425+972+143886+876+183039+967</f>
        <v>497165</v>
      </c>
      <c r="C10" s="17">
        <f>160459+744+147700+538+149470+404</f>
        <v>459315</v>
      </c>
      <c r="D10" s="18">
        <f>175179+508+168984+344+97405+416</f>
        <v>442836</v>
      </c>
      <c r="E10" s="18">
        <f>109316+592+135993+837+149226+948</f>
        <v>396912</v>
      </c>
      <c r="F10" s="19">
        <f t="shared" si="1"/>
        <v>1796228</v>
      </c>
    </row>
    <row r="11" spans="1:6" x14ac:dyDescent="0.35">
      <c r="A11" s="8" t="s">
        <v>10</v>
      </c>
      <c r="B11" s="16">
        <f>4439+33+3932+15+4707+15</f>
        <v>13141</v>
      </c>
      <c r="C11" s="17">
        <f>4142+8+3548+17+3515+2</f>
        <v>11232</v>
      </c>
      <c r="D11" s="18">
        <f>5371+23+5977+14+3998+11</f>
        <v>15394</v>
      </c>
      <c r="E11" s="18">
        <f>2390+8+4205+14+4013+5</f>
        <v>10635</v>
      </c>
      <c r="F11" s="19">
        <f t="shared" si="1"/>
        <v>50402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41+24+38+19+51+22</f>
        <v>195</v>
      </c>
      <c r="C14" s="15">
        <f>57+32+44+25+58+27</f>
        <v>243</v>
      </c>
      <c r="D14" s="18">
        <f>42+32+31+28+38+32</f>
        <v>203</v>
      </c>
      <c r="E14" s="18">
        <f>30+36+32+33+47+41</f>
        <v>219</v>
      </c>
      <c r="F14" s="19">
        <f t="shared" si="1"/>
        <v>860</v>
      </c>
    </row>
    <row r="15" spans="1:6" x14ac:dyDescent="0.35">
      <c r="A15" s="8" t="s">
        <v>12</v>
      </c>
      <c r="B15" s="16">
        <f>382+8+379+8+455+9</f>
        <v>1241</v>
      </c>
      <c r="C15" s="18">
        <f>533+21+496+17+502+25</f>
        <v>1594</v>
      </c>
      <c r="D15" s="18">
        <f>481+20+405+25+313+25</f>
        <v>1269</v>
      </c>
      <c r="E15" s="18">
        <f>440+28+432+21+346+29</f>
        <v>1296</v>
      </c>
      <c r="F15" s="19">
        <f t="shared" si="1"/>
        <v>5400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11530</v>
      </c>
      <c r="C17" s="29">
        <f t="shared" ref="C17:E17" si="2">SUM(C18:C20)</f>
        <v>10010</v>
      </c>
      <c r="D17" s="29">
        <f t="shared" si="2"/>
        <v>9220</v>
      </c>
      <c r="E17" s="29">
        <f t="shared" si="2"/>
        <v>10382</v>
      </c>
      <c r="F17" s="30">
        <f t="shared" si="1"/>
        <v>41142</v>
      </c>
    </row>
    <row r="18" spans="1:6" x14ac:dyDescent="0.35">
      <c r="A18" s="34" t="s">
        <v>16</v>
      </c>
      <c r="B18" s="35">
        <f>2453+2252+2851</f>
        <v>7556</v>
      </c>
      <c r="C18" s="36">
        <f>2433+2303+2410</f>
        <v>7146</v>
      </c>
      <c r="D18" s="36">
        <f>2646+2480+1727</f>
        <v>6853</v>
      </c>
      <c r="E18" s="36">
        <f>1819+2315+2657</f>
        <v>6791</v>
      </c>
      <c r="F18" s="37">
        <f>SUM(B18:E18)</f>
        <v>28346</v>
      </c>
    </row>
    <row r="19" spans="1:6" x14ac:dyDescent="0.35">
      <c r="A19" s="8" t="s">
        <v>17</v>
      </c>
      <c r="B19" s="16">
        <f>128+184+134</f>
        <v>446</v>
      </c>
      <c r="C19" s="18">
        <f>142+90+22</f>
        <v>254</v>
      </c>
      <c r="D19" s="18">
        <f>55+10+7</f>
        <v>72</v>
      </c>
      <c r="E19" s="18">
        <f>39+45+44</f>
        <v>128</v>
      </c>
      <c r="F19" s="19">
        <f t="shared" si="1"/>
        <v>900</v>
      </c>
    </row>
    <row r="20" spans="1:6" x14ac:dyDescent="0.35">
      <c r="A20" s="8" t="s">
        <v>18</v>
      </c>
      <c r="B20" s="16">
        <f>469+14+723+483+20+580+531+6+702</f>
        <v>3528</v>
      </c>
      <c r="C20" s="18">
        <f>446+8+535+399+11+476+305+24+406</f>
        <v>2610</v>
      </c>
      <c r="D20" s="18">
        <f>353+12+468+291+20+360+346+14+431</f>
        <v>2295</v>
      </c>
      <c r="E20" s="18">
        <f>408+33+526+458+19+655+490+103+771</f>
        <v>3463</v>
      </c>
      <c r="F20" s="19">
        <f t="shared" si="1"/>
        <v>11896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317366</v>
      </c>
      <c r="C24" s="29">
        <f t="shared" ref="C24:E24" si="3">SUM(C25:C27)</f>
        <v>362137</v>
      </c>
      <c r="D24" s="29">
        <f t="shared" si="3"/>
        <v>446145</v>
      </c>
      <c r="E24" s="29">
        <f t="shared" si="3"/>
        <v>330268</v>
      </c>
      <c r="F24" s="30">
        <f>SUM(B24:E24)</f>
        <v>1455916</v>
      </c>
    </row>
    <row r="25" spans="1:6" x14ac:dyDescent="0.35">
      <c r="A25" s="8" t="s">
        <v>8</v>
      </c>
      <c r="B25" s="16">
        <f>52350+425+42205+412+50124+467</f>
        <v>145983</v>
      </c>
      <c r="C25" s="18">
        <f>54733+421+51842+350+59340+380</f>
        <v>167066</v>
      </c>
      <c r="D25" s="18">
        <f>76937+456+80399+429+50949+352</f>
        <v>209522</v>
      </c>
      <c r="E25" s="18">
        <f>52582+283+46703+311+72547+371</f>
        <v>172797</v>
      </c>
      <c r="F25" s="19">
        <f t="shared" ref="F25:F31" si="4">SUM(B25:E25)</f>
        <v>695368</v>
      </c>
    </row>
    <row r="26" spans="1:6" x14ac:dyDescent="0.35">
      <c r="A26" s="8" t="s">
        <v>9</v>
      </c>
      <c r="B26" s="16">
        <f>62761+722+45017+395+55334+363</f>
        <v>164592</v>
      </c>
      <c r="C26" s="18">
        <f>61407+345+64331+326+61124+280</f>
        <v>187813</v>
      </c>
      <c r="D26" s="18">
        <f>85296+383+87686+336+50803+307</f>
        <v>224811</v>
      </c>
      <c r="E26" s="18">
        <f>48775+272+46038+285+54512+220</f>
        <v>150102</v>
      </c>
      <c r="F26" s="19">
        <f t="shared" si="4"/>
        <v>727318</v>
      </c>
    </row>
    <row r="27" spans="1:6" x14ac:dyDescent="0.35">
      <c r="A27" s="8" t="s">
        <v>10</v>
      </c>
      <c r="B27" s="16">
        <f>2440+1956+2395</f>
        <v>6791</v>
      </c>
      <c r="C27" s="18">
        <f>2623+2455+2180</f>
        <v>7258</v>
      </c>
      <c r="D27" s="18">
        <f>3488+7+5017+3298+2</f>
        <v>11812</v>
      </c>
      <c r="E27" s="18">
        <f>2128+1598+3643</f>
        <v>7369</v>
      </c>
      <c r="F27" s="19">
        <f t="shared" si="4"/>
        <v>33230</v>
      </c>
    </row>
    <row r="28" spans="1:6" x14ac:dyDescent="0.35">
      <c r="A28" s="8" t="s">
        <v>14</v>
      </c>
      <c r="B28" s="16">
        <f>121+106+123+110+148+134</f>
        <v>742</v>
      </c>
      <c r="C28" s="18">
        <f>126+112+116+103+130+117</f>
        <v>704</v>
      </c>
      <c r="D28" s="18">
        <f>121+111+122+105+118+105</f>
        <v>682</v>
      </c>
      <c r="E28" s="18">
        <f>128+113+141+127+155+137</f>
        <v>801</v>
      </c>
      <c r="F28" s="19">
        <f t="shared" si="4"/>
        <v>2929</v>
      </c>
    </row>
    <row r="29" spans="1:6" x14ac:dyDescent="0.35">
      <c r="A29" s="8" t="s">
        <v>13</v>
      </c>
      <c r="B29" s="16">
        <f>40+23+42+20+46+26</f>
        <v>197</v>
      </c>
      <c r="C29" s="18">
        <f>50+33+62+43+56+33</f>
        <v>277</v>
      </c>
      <c r="D29" s="18">
        <f>46+29+39+22+48+32</f>
        <v>216</v>
      </c>
      <c r="E29" s="18">
        <f>43+27+38+25+46+31</f>
        <v>210</v>
      </c>
      <c r="F29" s="19">
        <f t="shared" si="4"/>
        <v>900</v>
      </c>
    </row>
    <row r="30" spans="1:6" x14ac:dyDescent="0.35">
      <c r="A30" s="8" t="s">
        <v>11</v>
      </c>
      <c r="B30" s="16">
        <f>451+308+403+293+477+343</f>
        <v>2275</v>
      </c>
      <c r="C30" s="18">
        <f>352+240+388+264+405+285+3</f>
        <v>1937</v>
      </c>
      <c r="D30" s="18">
        <f>427+313+3+325+227+442+301</f>
        <v>2038</v>
      </c>
      <c r="E30" s="18">
        <f>438+280+439+295+585+421</f>
        <v>2458</v>
      </c>
      <c r="F30" s="19">
        <f t="shared" si="4"/>
        <v>8708</v>
      </c>
    </row>
    <row r="31" spans="1:6" x14ac:dyDescent="0.35">
      <c r="A31" s="8" t="s">
        <v>12</v>
      </c>
      <c r="B31" s="16">
        <f>441+152+344+109+420+157</f>
        <v>1623</v>
      </c>
      <c r="C31" s="18">
        <f>460+119+422+102+517+129</f>
        <v>1749</v>
      </c>
      <c r="D31" s="18">
        <f>516+135+356+118+345+137</f>
        <v>1607</v>
      </c>
      <c r="E31" s="18">
        <f>413+178+416+148+435+131</f>
        <v>1721</v>
      </c>
      <c r="F31" s="19">
        <f t="shared" si="4"/>
        <v>6700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5865</v>
      </c>
      <c r="C33" s="29">
        <f t="shared" ref="C33:E33" si="5">SUM(C34:C36)</f>
        <v>5888</v>
      </c>
      <c r="D33" s="29">
        <f t="shared" si="5"/>
        <v>6029</v>
      </c>
      <c r="E33" s="29">
        <f t="shared" si="5"/>
        <v>6073</v>
      </c>
      <c r="F33" s="30">
        <f>SUM(B33:E33)</f>
        <v>23855</v>
      </c>
    </row>
    <row r="34" spans="1:6" x14ac:dyDescent="0.35">
      <c r="A34" s="8" t="s">
        <v>16</v>
      </c>
      <c r="B34" s="16">
        <f>1330+1153+1299</f>
        <v>3782</v>
      </c>
      <c r="C34" s="18">
        <f>1313+1393+1459</f>
        <v>4165</v>
      </c>
      <c r="D34" s="18">
        <f>1589+1538+1285</f>
        <v>4412</v>
      </c>
      <c r="E34" s="18">
        <f>1234+1218+1520</f>
        <v>3972</v>
      </c>
      <c r="F34" s="19">
        <f t="shared" ref="F34:F36" si="6">SUM(B34:E34)</f>
        <v>16331</v>
      </c>
    </row>
    <row r="35" spans="1:6" x14ac:dyDescent="0.35">
      <c r="A35" s="8" t="s">
        <v>17</v>
      </c>
      <c r="B35" s="16">
        <f>2</f>
        <v>2</v>
      </c>
      <c r="C35" s="16">
        <v>2</v>
      </c>
      <c r="D35" s="16">
        <v>0</v>
      </c>
      <c r="E35" s="18">
        <f>0</f>
        <v>0</v>
      </c>
      <c r="F35" s="19">
        <f t="shared" si="6"/>
        <v>4</v>
      </c>
    </row>
    <row r="36" spans="1:6" x14ac:dyDescent="0.35">
      <c r="A36" s="8" t="s">
        <v>18</v>
      </c>
      <c r="B36" s="16">
        <f>38+311+422+35+258+371+25+259+362</f>
        <v>2081</v>
      </c>
      <c r="C36" s="18">
        <f>15+177+348+21+249+347+17+242+305</f>
        <v>1721</v>
      </c>
      <c r="D36" s="18">
        <f>6+168+347+16+84+304+12+289+391</f>
        <v>1617</v>
      </c>
      <c r="E36" s="18">
        <f>6+383+331+46+505+270+11+253+296</f>
        <v>2101</v>
      </c>
      <c r="F36" s="19">
        <f t="shared" si="6"/>
        <v>7520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1299086</v>
      </c>
      <c r="C38" s="26">
        <f>C8+C24</f>
        <v>1282170</v>
      </c>
      <c r="D38" s="26">
        <f t="shared" ref="D38:E38" si="7">D8+D24</f>
        <v>1326396</v>
      </c>
      <c r="E38" s="26">
        <f t="shared" si="7"/>
        <v>1181894</v>
      </c>
      <c r="F38" s="27">
        <f>F8+F24</f>
        <v>5089546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topLeftCell="A3"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32</v>
      </c>
      <c r="B1" s="3"/>
      <c r="C1" s="9"/>
      <c r="D1" s="9"/>
      <c r="E1" s="9"/>
      <c r="F1" s="9"/>
    </row>
    <row r="2" spans="1:6" ht="15.5" x14ac:dyDescent="0.35">
      <c r="A2" s="2" t="s">
        <v>33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956387</v>
      </c>
      <c r="C8" s="29">
        <f>SUM(C9:C11)</f>
        <v>904488</v>
      </c>
      <c r="D8" s="29">
        <f>SUM(D9:D11)</f>
        <v>837761</v>
      </c>
      <c r="E8" s="29">
        <f t="shared" ref="E8" si="0">SUM(E9:E11)</f>
        <v>783692</v>
      </c>
      <c r="F8" s="30">
        <f>SUM(B8:E8)</f>
        <v>3482328</v>
      </c>
    </row>
    <row r="9" spans="1:6" x14ac:dyDescent="0.35">
      <c r="A9" s="8" t="s">
        <v>8</v>
      </c>
      <c r="B9" s="16">
        <f>140032+876+140468+771+177905+1050</f>
        <v>461102</v>
      </c>
      <c r="C9" s="17">
        <f>147378+671+134077+410+151949+348</f>
        <v>434833</v>
      </c>
      <c r="D9" s="18">
        <f>163103+495+143334+353+90211+256</f>
        <v>397752</v>
      </c>
      <c r="E9" s="18">
        <f>105437+331+131187+583+170476+688</f>
        <v>408702</v>
      </c>
      <c r="F9" s="19">
        <f t="shared" ref="F9:F20" si="1">SUM(B9:E9)</f>
        <v>1702389</v>
      </c>
    </row>
    <row r="10" spans="1:6" x14ac:dyDescent="0.35">
      <c r="A10" s="8" t="s">
        <v>9</v>
      </c>
      <c r="B10" s="16">
        <f>158365+958+138179+968+176886+1089</f>
        <v>476445</v>
      </c>
      <c r="C10" s="17">
        <f>163240+756+138337+516+146787+415</f>
        <v>450051</v>
      </c>
      <c r="D10" s="18">
        <f>164357+591+158601+413+95491+294</f>
        <v>419747</v>
      </c>
      <c r="E10" s="18">
        <f>100463+435+120567+630+140139+865</f>
        <v>363099</v>
      </c>
      <c r="F10" s="19">
        <f t="shared" si="1"/>
        <v>1709342</v>
      </c>
    </row>
    <row r="11" spans="1:6" x14ac:dyDescent="0.35">
      <c r="A11" s="8" t="s">
        <v>10</v>
      </c>
      <c r="B11" s="16">
        <f>6292+14+5960+12+6528+34</f>
        <v>18840</v>
      </c>
      <c r="C11" s="17">
        <f>6778+14+5964+10+6836+2</f>
        <v>19604</v>
      </c>
      <c r="D11" s="18">
        <f>8013+15+8022+5+4201+6</f>
        <v>20262</v>
      </c>
      <c r="E11" s="18">
        <f>4122+30+3226+71+4434+8</f>
        <v>11891</v>
      </c>
      <c r="F11" s="19">
        <f t="shared" si="1"/>
        <v>70597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52+37+45+37+39+36</f>
        <v>246</v>
      </c>
      <c r="C14" s="18">
        <f>47+34+47+32+57+33</f>
        <v>250</v>
      </c>
      <c r="D14" s="18">
        <f>38+43+32+56+20+32</f>
        <v>221</v>
      </c>
      <c r="E14" s="18">
        <f>32+8+55+26+54+36</f>
        <v>211</v>
      </c>
      <c r="F14" s="19">
        <f t="shared" si="1"/>
        <v>928</v>
      </c>
    </row>
    <row r="15" spans="1:6" x14ac:dyDescent="0.35">
      <c r="A15" s="8" t="s">
        <v>12</v>
      </c>
      <c r="B15" s="16">
        <f>327+7+304+6+358+7</f>
        <v>1009</v>
      </c>
      <c r="C15" s="18">
        <f>430+8+395+6+401+4</f>
        <v>1244</v>
      </c>
      <c r="D15" s="18">
        <f>334+11+336+57+339+7</f>
        <v>1084</v>
      </c>
      <c r="E15" s="18">
        <f>372+71+491+7+355+8</f>
        <v>1304</v>
      </c>
      <c r="F15" s="19">
        <f t="shared" si="1"/>
        <v>4641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11919</v>
      </c>
      <c r="C17" s="29">
        <f t="shared" ref="C17:E17" si="2">SUM(C18:C20)</f>
        <v>9787</v>
      </c>
      <c r="D17" s="29">
        <f t="shared" si="2"/>
        <v>8667</v>
      </c>
      <c r="E17" s="29">
        <f t="shared" si="2"/>
        <v>9369</v>
      </c>
      <c r="F17" s="30">
        <f t="shared" si="1"/>
        <v>39742</v>
      </c>
    </row>
    <row r="18" spans="1:6" x14ac:dyDescent="0.35">
      <c r="A18" s="34" t="s">
        <v>16</v>
      </c>
      <c r="B18" s="35">
        <f>2454+2318+2803</f>
        <v>7575</v>
      </c>
      <c r="C18" s="36">
        <f>2451+2112+2238</f>
        <v>6801</v>
      </c>
      <c r="D18" s="36">
        <f>2417+2247+1540</f>
        <v>6204</v>
      </c>
      <c r="E18" s="36">
        <f>1712+2066+2430</f>
        <v>6208</v>
      </c>
      <c r="F18" s="37">
        <f>SUM(B18:E18)</f>
        <v>26788</v>
      </c>
    </row>
    <row r="19" spans="1:6" x14ac:dyDescent="0.35">
      <c r="A19" s="8" t="s">
        <v>17</v>
      </c>
      <c r="B19" s="16">
        <f>86+54+40</f>
        <v>180</v>
      </c>
      <c r="C19" s="18">
        <f>69+107+92</f>
        <v>268</v>
      </c>
      <c r="D19" s="18">
        <f>100+66+92</f>
        <v>258</v>
      </c>
      <c r="E19" s="18">
        <f>99+62+25</f>
        <v>186</v>
      </c>
      <c r="F19" s="19">
        <f t="shared" si="1"/>
        <v>892</v>
      </c>
    </row>
    <row r="20" spans="1:6" x14ac:dyDescent="0.35">
      <c r="A20" s="8" t="s">
        <v>18</v>
      </c>
      <c r="B20" s="16">
        <f>711+15+731+661+9+623+634+13+767</f>
        <v>4164</v>
      </c>
      <c r="C20" s="18">
        <f>496+10+567+405+12+456+360+11+401</f>
        <v>2718</v>
      </c>
      <c r="D20" s="18">
        <f>477+17+406+278+13+414+283+8+309</f>
        <v>2205</v>
      </c>
      <c r="E20" s="18">
        <f>342+18+388+474+31+570+455+52+645</f>
        <v>2975</v>
      </c>
      <c r="F20" s="19">
        <f t="shared" si="1"/>
        <v>12062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319306</v>
      </c>
      <c r="C24" s="29">
        <f t="shared" ref="C24:E24" si="3">SUM(C25:C27)</f>
        <v>334937</v>
      </c>
      <c r="D24" s="29">
        <f t="shared" si="3"/>
        <v>402217</v>
      </c>
      <c r="E24" s="29">
        <f t="shared" si="3"/>
        <v>316299</v>
      </c>
      <c r="F24" s="30">
        <f>SUM(B24:E24)</f>
        <v>1372759</v>
      </c>
    </row>
    <row r="25" spans="1:6" x14ac:dyDescent="0.35">
      <c r="A25" s="8" t="s">
        <v>8</v>
      </c>
      <c r="B25" s="16">
        <f>52360+551+43184+365+54111+368</f>
        <v>150939</v>
      </c>
      <c r="C25" s="18">
        <f>50047+520+49491+770+58039+460</f>
        <v>159327</v>
      </c>
      <c r="D25" s="18">
        <f>71239+450+69793+402+49263+296</f>
        <v>191443</v>
      </c>
      <c r="E25" s="18">
        <f>48143+427+47169+361+65955+965</f>
        <v>163020</v>
      </c>
      <c r="F25" s="19">
        <f t="shared" ref="F25:F31" si="4">SUM(B25:E25)</f>
        <v>664729</v>
      </c>
    </row>
    <row r="26" spans="1:6" x14ac:dyDescent="0.35">
      <c r="A26" s="8" t="s">
        <v>9</v>
      </c>
      <c r="B26" s="16">
        <f>63957+873+45736+316+55180+351</f>
        <v>166413</v>
      </c>
      <c r="C26" s="18">
        <f>58159+586+57337+548+56720+349</f>
        <v>173699</v>
      </c>
      <c r="D26" s="18">
        <f>77523+353+77254+382+51363+409</f>
        <v>207284</v>
      </c>
      <c r="E26" s="18">
        <f>46878+331+45657+297+52286+616</f>
        <v>146065</v>
      </c>
      <c r="F26" s="19">
        <f t="shared" si="4"/>
        <v>693461</v>
      </c>
    </row>
    <row r="27" spans="1:6" x14ac:dyDescent="0.35">
      <c r="A27" s="8" t="s">
        <v>10</v>
      </c>
      <c r="B27" s="16">
        <f>651+84+746+473</f>
        <v>1954</v>
      </c>
      <c r="C27" s="18">
        <f>549+189+563+2+592+16</f>
        <v>1911</v>
      </c>
      <c r="D27" s="18">
        <f>563+1442+2+1318+165</f>
        <v>3490</v>
      </c>
      <c r="E27" s="18">
        <f>2282+1966+4+2908+54</f>
        <v>7214</v>
      </c>
      <c r="F27" s="19">
        <f t="shared" si="4"/>
        <v>14569</v>
      </c>
    </row>
    <row r="28" spans="1:6" x14ac:dyDescent="0.35">
      <c r="A28" s="8" t="s">
        <v>14</v>
      </c>
      <c r="B28" s="16">
        <f>90+74+81+64+124+104</f>
        <v>537</v>
      </c>
      <c r="C28" s="18">
        <f>123+101+115+96+131+102</f>
        <v>668</v>
      </c>
      <c r="D28" s="18">
        <f>87+73+92+71+108+87</f>
        <v>518</v>
      </c>
      <c r="E28" s="18">
        <f>85+61+164+147+166+146</f>
        <v>769</v>
      </c>
      <c r="F28" s="19">
        <f t="shared" si="4"/>
        <v>2492</v>
      </c>
    </row>
    <row r="29" spans="1:6" x14ac:dyDescent="0.35">
      <c r="A29" s="8" t="s">
        <v>13</v>
      </c>
      <c r="B29" s="16">
        <f>34+147+31+14+39+21</f>
        <v>286</v>
      </c>
      <c r="C29" s="18">
        <f>41+22+45+23+47+27</f>
        <v>205</v>
      </c>
      <c r="D29" s="18">
        <f>33+17+28+10+32+15</f>
        <v>135</v>
      </c>
      <c r="E29" s="18">
        <f>34+15+44+29+43+25</f>
        <v>190</v>
      </c>
      <c r="F29" s="19">
        <f t="shared" si="4"/>
        <v>816</v>
      </c>
    </row>
    <row r="30" spans="1:6" x14ac:dyDescent="0.35">
      <c r="A30" s="8" t="s">
        <v>11</v>
      </c>
      <c r="B30" s="16">
        <f>390+274+311+209+329+230</f>
        <v>1743</v>
      </c>
      <c r="C30" s="18">
        <f>357+237+385+255+355+221</f>
        <v>1810</v>
      </c>
      <c r="D30" s="18">
        <f>393+247+380+245+366+244</f>
        <v>1875</v>
      </c>
      <c r="E30" s="18">
        <f>403+250+435+299+591+410</f>
        <v>2388</v>
      </c>
      <c r="F30" s="19">
        <f t="shared" si="4"/>
        <v>7816</v>
      </c>
    </row>
    <row r="31" spans="1:6" x14ac:dyDescent="0.35">
      <c r="A31" s="8" t="s">
        <v>12</v>
      </c>
      <c r="B31" s="16">
        <f>339+96+366+124+385+145</f>
        <v>1455</v>
      </c>
      <c r="C31" s="18">
        <f>358+114+472+155+433+135</f>
        <v>1667</v>
      </c>
      <c r="D31" s="18">
        <f>468+174+411+169+406+132</f>
        <v>1760</v>
      </c>
      <c r="E31" s="18">
        <f>419+155+454+140+476+190</f>
        <v>1834</v>
      </c>
      <c r="F31" s="19">
        <f t="shared" si="4"/>
        <v>6716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5520</v>
      </c>
      <c r="C33" s="29">
        <f t="shared" ref="C33:E33" si="5">SUM(C34:C36)</f>
        <v>5793</v>
      </c>
      <c r="D33" s="29">
        <f t="shared" si="5"/>
        <v>5704</v>
      </c>
      <c r="E33" s="29">
        <f t="shared" si="5"/>
        <v>5510</v>
      </c>
      <c r="F33" s="30">
        <f>SUM(B33:E33)</f>
        <v>22527</v>
      </c>
    </row>
    <row r="34" spans="1:6" x14ac:dyDescent="0.35">
      <c r="A34" s="8" t="s">
        <v>16</v>
      </c>
      <c r="B34" s="16">
        <f>1304+1115+1249</f>
        <v>3668</v>
      </c>
      <c r="C34" s="18">
        <f>1215+1235+1205</f>
        <v>3655</v>
      </c>
      <c r="D34" s="18">
        <f>1393+1302+1174</f>
        <v>3869</v>
      </c>
      <c r="E34" s="18">
        <f>1177+1089+1255</f>
        <v>3521</v>
      </c>
      <c r="F34" s="19">
        <f t="shared" ref="F34:F36" si="6">SUM(B34:E34)</f>
        <v>14713</v>
      </c>
    </row>
    <row r="35" spans="1:6" x14ac:dyDescent="0.35">
      <c r="A35" s="8" t="s">
        <v>17</v>
      </c>
      <c r="B35" s="16">
        <f>15+15+13</f>
        <v>43</v>
      </c>
      <c r="C35" s="16">
        <f>15+22+14</f>
        <v>51</v>
      </c>
      <c r="D35" s="16">
        <f>16+10+10</f>
        <v>36</v>
      </c>
      <c r="E35" s="18">
        <f>7+2</f>
        <v>9</v>
      </c>
      <c r="F35" s="19">
        <f t="shared" si="6"/>
        <v>139</v>
      </c>
    </row>
    <row r="36" spans="1:6" x14ac:dyDescent="0.35">
      <c r="A36" s="8" t="s">
        <v>18</v>
      </c>
      <c r="B36" s="16">
        <f>49+161+456+56+155+382+57+106+387</f>
        <v>1809</v>
      </c>
      <c r="C36" s="18">
        <f>52+160+364+69+274+448+45+325+350</f>
        <v>2087</v>
      </c>
      <c r="D36" s="18">
        <f>54+272+383+24+215+328+51+180+292</f>
        <v>1799</v>
      </c>
      <c r="E36" s="18">
        <f>42+186+364+44+363+330+48+188+415</f>
        <v>1980</v>
      </c>
      <c r="F36" s="19">
        <f t="shared" si="6"/>
        <v>7675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1275693</v>
      </c>
      <c r="C38" s="26">
        <f>C8+C24</f>
        <v>1239425</v>
      </c>
      <c r="D38" s="26">
        <f t="shared" ref="D38:E38" si="7">D8+D24</f>
        <v>1239978</v>
      </c>
      <c r="E38" s="26">
        <f t="shared" si="7"/>
        <v>1099991</v>
      </c>
      <c r="F38" s="27">
        <f>F8+F24</f>
        <v>4855087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zoomScaleNormal="100" workbookViewId="0">
      <selection activeCell="F8" sqref="F8:F38"/>
    </sheetView>
  </sheetViews>
  <sheetFormatPr defaultRowHeight="14.5" x14ac:dyDescent="0.35"/>
  <cols>
    <col min="1" max="1" width="38.26953125" customWidth="1"/>
    <col min="2" max="6" width="14.54296875" customWidth="1"/>
  </cols>
  <sheetData>
    <row r="1" spans="1:6" ht="15.5" x14ac:dyDescent="0.35">
      <c r="A1" s="2" t="s">
        <v>34</v>
      </c>
      <c r="B1" s="3"/>
      <c r="C1" s="9"/>
      <c r="D1" s="9"/>
      <c r="E1" s="9"/>
      <c r="F1" s="9"/>
    </row>
    <row r="2" spans="1:6" ht="15.5" x14ac:dyDescent="0.35">
      <c r="A2" s="2" t="s">
        <v>37</v>
      </c>
      <c r="B2" s="3"/>
      <c r="C2" s="9"/>
      <c r="D2" s="9"/>
      <c r="E2" s="9"/>
      <c r="F2" s="9"/>
    </row>
    <row r="3" spans="1:6" ht="15" thickBot="1" x14ac:dyDescent="0.4">
      <c r="B3" s="3"/>
      <c r="C3" s="9"/>
      <c r="D3" s="9"/>
      <c r="E3" s="9"/>
      <c r="F3" s="10"/>
    </row>
    <row r="4" spans="1:6" ht="15" thickBot="1" x14ac:dyDescent="0.4">
      <c r="A4" s="5" t="s">
        <v>0</v>
      </c>
      <c r="B4" s="6" t="s">
        <v>1</v>
      </c>
      <c r="C4" s="11" t="s">
        <v>2</v>
      </c>
      <c r="D4" s="11" t="s">
        <v>3</v>
      </c>
      <c r="E4" s="12" t="s">
        <v>4</v>
      </c>
      <c r="F4" s="11" t="s">
        <v>5</v>
      </c>
    </row>
    <row r="5" spans="1:6" x14ac:dyDescent="0.35">
      <c r="A5" s="8"/>
      <c r="B5" s="7"/>
      <c r="C5" s="10"/>
      <c r="D5" s="10"/>
      <c r="E5" s="10"/>
      <c r="F5" s="13"/>
    </row>
    <row r="6" spans="1:6" x14ac:dyDescent="0.35">
      <c r="A6" s="32" t="s">
        <v>6</v>
      </c>
      <c r="B6" s="7"/>
      <c r="C6" s="10"/>
      <c r="D6" s="10"/>
      <c r="E6" s="10"/>
      <c r="F6" s="13"/>
    </row>
    <row r="7" spans="1:6" x14ac:dyDescent="0.35">
      <c r="A7" s="8"/>
      <c r="B7" s="7"/>
      <c r="C7" s="10"/>
      <c r="D7" s="10"/>
      <c r="E7" s="10"/>
      <c r="F7" s="13"/>
    </row>
    <row r="8" spans="1:6" x14ac:dyDescent="0.35">
      <c r="A8" s="31" t="s">
        <v>7</v>
      </c>
      <c r="B8" s="29">
        <f>SUM(B9:B11)</f>
        <v>999428</v>
      </c>
      <c r="C8" s="29">
        <f>SUM(C9:C11)</f>
        <v>876888</v>
      </c>
      <c r="D8" s="29">
        <f>SUM(D9:D11)</f>
        <v>793278</v>
      </c>
      <c r="E8" s="29">
        <f t="shared" ref="E8" si="0">SUM(E9:E11)</f>
        <v>708169</v>
      </c>
      <c r="F8" s="30">
        <f>SUM(B8:E8)</f>
        <v>3377763</v>
      </c>
    </row>
    <row r="9" spans="1:6" x14ac:dyDescent="0.35">
      <c r="A9" s="8" t="s">
        <v>8</v>
      </c>
      <c r="B9" s="16">
        <f>145207+945+153058+843+177247+977</f>
        <v>478277</v>
      </c>
      <c r="C9" s="17">
        <f>162643+770+132034+601+136785+477</f>
        <v>433310</v>
      </c>
      <c r="D9" s="18">
        <f>157853+554+127224+251+86777+320</f>
        <v>372979</v>
      </c>
      <c r="E9" s="18">
        <f>91618+318+116266+684+154277+890</f>
        <v>364053</v>
      </c>
      <c r="F9" s="19">
        <f t="shared" ref="F9:F20" si="1">SUM(B9:E9)</f>
        <v>1648619</v>
      </c>
    </row>
    <row r="10" spans="1:6" x14ac:dyDescent="0.35">
      <c r="A10" s="8" t="s">
        <v>9</v>
      </c>
      <c r="B10" s="16">
        <f>162675+1021+150528+945+175263+999</f>
        <v>491431</v>
      </c>
      <c r="C10" s="17">
        <f>148738+678+128379+529+143359+428</f>
        <v>422111</v>
      </c>
      <c r="D10" s="18">
        <f>156352+591+143800+349+91428+336</f>
        <v>392856</v>
      </c>
      <c r="E10" s="18">
        <f>89165+448+107471+858+124358+742</f>
        <v>323042</v>
      </c>
      <c r="F10" s="19">
        <f t="shared" si="1"/>
        <v>1629440</v>
      </c>
    </row>
    <row r="11" spans="1:6" x14ac:dyDescent="0.35">
      <c r="A11" s="8" t="s">
        <v>10</v>
      </c>
      <c r="B11" s="16">
        <f>10632+4+9838+7+9231+8</f>
        <v>29720</v>
      </c>
      <c r="C11" s="17">
        <f>7837+28+6542+5+7041+14</f>
        <v>21467</v>
      </c>
      <c r="D11" s="18">
        <f>9398+17+11219+70+6693+46</f>
        <v>27443</v>
      </c>
      <c r="E11" s="18">
        <f>6891+12+6670+9+7462+30</f>
        <v>21074</v>
      </c>
      <c r="F11" s="19">
        <f t="shared" si="1"/>
        <v>99704</v>
      </c>
    </row>
    <row r="12" spans="1:6" x14ac:dyDescent="0.35">
      <c r="A12" s="8" t="s">
        <v>14</v>
      </c>
      <c r="B12" s="14">
        <v>0</v>
      </c>
      <c r="C12" s="15">
        <v>0</v>
      </c>
      <c r="D12" s="15">
        <v>0</v>
      </c>
      <c r="E12" s="15">
        <v>0</v>
      </c>
      <c r="F12" s="19">
        <f t="shared" si="1"/>
        <v>0</v>
      </c>
    </row>
    <row r="13" spans="1:6" x14ac:dyDescent="0.35">
      <c r="A13" s="8" t="s">
        <v>13</v>
      </c>
      <c r="B13" s="14">
        <v>0</v>
      </c>
      <c r="C13" s="15">
        <v>0</v>
      </c>
      <c r="D13" s="15">
        <v>0</v>
      </c>
      <c r="E13" s="15">
        <v>0</v>
      </c>
      <c r="F13" s="19">
        <f t="shared" si="1"/>
        <v>0</v>
      </c>
    </row>
    <row r="14" spans="1:6" x14ac:dyDescent="0.35">
      <c r="A14" s="8" t="s">
        <v>11</v>
      </c>
      <c r="B14" s="16">
        <f>60.44+16.23+43.37+57.82+131+47.19</f>
        <v>356.05</v>
      </c>
      <c r="C14" s="18">
        <f>433+29+358.84+24.45+356+23.59</f>
        <v>1224.8799999999999</v>
      </c>
      <c r="D14" s="18">
        <f>38+53+34+46+33+40.97</f>
        <v>244.97</v>
      </c>
      <c r="E14" s="18">
        <f>41+44+44+50+44+49.18</f>
        <v>272.18</v>
      </c>
      <c r="F14" s="19">
        <f t="shared" si="1"/>
        <v>2098.08</v>
      </c>
    </row>
    <row r="15" spans="1:6" x14ac:dyDescent="0.35">
      <c r="A15" s="8" t="s">
        <v>12</v>
      </c>
      <c r="B15" s="16">
        <f>288.05+59.3+326.61+14.27+414.64+12.93</f>
        <v>1115.8</v>
      </c>
      <c r="C15" s="18">
        <f>30+59+31.95+55.04+40+50.78</f>
        <v>266.77</v>
      </c>
      <c r="D15" s="18">
        <f>338+27+287+21+306+12.83</f>
        <v>991.83</v>
      </c>
      <c r="E15" s="18">
        <f>316+8+264+12+279+12.41</f>
        <v>891.41</v>
      </c>
      <c r="F15" s="19">
        <f t="shared" si="1"/>
        <v>3265.81</v>
      </c>
    </row>
    <row r="16" spans="1:6" x14ac:dyDescent="0.35">
      <c r="A16" s="8"/>
      <c r="B16" s="20"/>
      <c r="C16" s="18"/>
      <c r="D16" s="18"/>
      <c r="E16" s="18"/>
      <c r="F16" s="21"/>
    </row>
    <row r="17" spans="1:6" x14ac:dyDescent="0.35">
      <c r="A17" s="28" t="s">
        <v>15</v>
      </c>
      <c r="B17" s="29">
        <f>SUM(B18:B20)</f>
        <v>12489</v>
      </c>
      <c r="C17" s="29">
        <f t="shared" ref="C17:E17" si="2">SUM(C18:C20)</f>
        <v>9967</v>
      </c>
      <c r="D17" s="29">
        <f t="shared" si="2"/>
        <v>8847</v>
      </c>
      <c r="E17" s="29">
        <f t="shared" si="2"/>
        <v>9383</v>
      </c>
      <c r="F17" s="30">
        <f t="shared" si="1"/>
        <v>40686</v>
      </c>
    </row>
    <row r="18" spans="1:6" x14ac:dyDescent="0.35">
      <c r="A18" s="34" t="s">
        <v>16</v>
      </c>
      <c r="B18" s="35">
        <f>2557+2483+2804</f>
        <v>7844</v>
      </c>
      <c r="C18" s="36">
        <f>2392+1987+2067</f>
        <v>6446</v>
      </c>
      <c r="D18" s="36">
        <f>2260+1927+1463</f>
        <v>5650</v>
      </c>
      <c r="E18" s="36">
        <f>1430+1829+2282</f>
        <v>5541</v>
      </c>
      <c r="F18" s="37">
        <f>SUM(B18:E18)</f>
        <v>25481</v>
      </c>
    </row>
    <row r="19" spans="1:6" x14ac:dyDescent="0.35">
      <c r="A19" s="8" t="s">
        <v>17</v>
      </c>
      <c r="B19" s="16">
        <f>76+79+77</f>
        <v>232</v>
      </c>
      <c r="C19" s="18">
        <f>72+86+86</f>
        <v>244</v>
      </c>
      <c r="D19" s="18">
        <f>103+130+111</f>
        <v>344</v>
      </c>
      <c r="E19" s="18">
        <f>129+116+108</f>
        <v>353</v>
      </c>
      <c r="F19" s="19">
        <f t="shared" si="1"/>
        <v>1173</v>
      </c>
    </row>
    <row r="20" spans="1:6" x14ac:dyDescent="0.35">
      <c r="A20" s="8" t="s">
        <v>18</v>
      </c>
      <c r="B20" s="16">
        <f>747+13+768+703+24+641+736+37+744</f>
        <v>4413</v>
      </c>
      <c r="C20" s="18">
        <f>603+12+578+600+23+503+490+7+461</f>
        <v>3277</v>
      </c>
      <c r="D20" s="18">
        <f>588+11+500+438+26+374+428+23+465</f>
        <v>2853</v>
      </c>
      <c r="E20" s="18">
        <f>472+18+403+697+40+534+629+32+664</f>
        <v>3489</v>
      </c>
      <c r="F20" s="19">
        <f t="shared" si="1"/>
        <v>14032</v>
      </c>
    </row>
    <row r="21" spans="1:6" x14ac:dyDescent="0.35">
      <c r="A21" s="8"/>
      <c r="B21" s="20"/>
      <c r="C21" s="18"/>
      <c r="D21" s="18"/>
      <c r="E21" s="18"/>
      <c r="F21" s="21"/>
    </row>
    <row r="22" spans="1:6" x14ac:dyDescent="0.35">
      <c r="A22" s="32" t="s">
        <v>19</v>
      </c>
      <c r="B22" s="20"/>
      <c r="C22" s="18"/>
      <c r="D22" s="18"/>
      <c r="E22" s="18"/>
      <c r="F22" s="21"/>
    </row>
    <row r="23" spans="1:6" x14ac:dyDescent="0.35">
      <c r="A23" s="33"/>
      <c r="B23" s="20"/>
      <c r="C23" s="18"/>
      <c r="D23" s="18"/>
      <c r="E23" s="18"/>
      <c r="F23" s="21"/>
    </row>
    <row r="24" spans="1:6" x14ac:dyDescent="0.35">
      <c r="A24" s="31" t="s">
        <v>7</v>
      </c>
      <c r="B24" s="29">
        <f>SUM(B25:B27)</f>
        <v>334199</v>
      </c>
      <c r="C24" s="29">
        <f t="shared" ref="C24:E24" si="3">SUM(C25:C27)</f>
        <v>368402</v>
      </c>
      <c r="D24" s="29">
        <f t="shared" si="3"/>
        <v>445318</v>
      </c>
      <c r="E24" s="29">
        <f t="shared" si="3"/>
        <v>328761</v>
      </c>
      <c r="F24" s="30">
        <f>SUM(B24:E24)</f>
        <v>1476680</v>
      </c>
    </row>
    <row r="25" spans="1:6" x14ac:dyDescent="0.35">
      <c r="A25" s="8" t="s">
        <v>8</v>
      </c>
      <c r="B25" s="16">
        <f>54686+401+47484+508+53837+454</f>
        <v>157370</v>
      </c>
      <c r="C25" s="18">
        <f>59573+601+53378+678+61589+485</f>
        <v>176304</v>
      </c>
      <c r="D25" s="18">
        <f>82055+332+78270+414+51624+337</f>
        <v>213032</v>
      </c>
      <c r="E25" s="18">
        <f>49000+297+53278+411+70147+500</f>
        <v>173633</v>
      </c>
      <c r="F25" s="19">
        <f t="shared" ref="F25:F31" si="4">SUM(B25:E25)</f>
        <v>720339</v>
      </c>
    </row>
    <row r="26" spans="1:6" x14ac:dyDescent="0.35">
      <c r="A26" s="8" t="s">
        <v>9</v>
      </c>
      <c r="B26" s="16">
        <f>67551+405+49634+453+56140+373</f>
        <v>174556</v>
      </c>
      <c r="C26" s="18">
        <f>67482+433+61323+387+58507+399</f>
        <v>188531</v>
      </c>
      <c r="D26" s="18">
        <f>83346+473+90467+352+53970+298</f>
        <v>228906</v>
      </c>
      <c r="E26" s="18">
        <f>46663+257+50859+371+54430+449</f>
        <v>153029</v>
      </c>
      <c r="F26" s="19">
        <f t="shared" si="4"/>
        <v>745022</v>
      </c>
    </row>
    <row r="27" spans="1:6" x14ac:dyDescent="0.35">
      <c r="A27" s="8" t="s">
        <v>10</v>
      </c>
      <c r="B27" s="16">
        <f>655+688+3+927</f>
        <v>2273</v>
      </c>
      <c r="C27" s="18">
        <f>1096+289+1051+1129+2</f>
        <v>3567</v>
      </c>
      <c r="D27" s="18">
        <f>1188+1226+2+964</f>
        <v>3380</v>
      </c>
      <c r="E27" s="18">
        <f>540+754+15+786+4</f>
        <v>2099</v>
      </c>
      <c r="F27" s="19">
        <f t="shared" si="4"/>
        <v>11319</v>
      </c>
    </row>
    <row r="28" spans="1:6" x14ac:dyDescent="0.35">
      <c r="A28" s="8" t="s">
        <v>14</v>
      </c>
      <c r="B28" s="16">
        <f>185+103+185+110+235+171</f>
        <v>989</v>
      </c>
      <c r="C28" s="18">
        <f>177+156+182+145+161+133</f>
        <v>954</v>
      </c>
      <c r="D28" s="18">
        <f>164+135+142+115+117+98</f>
        <v>771</v>
      </c>
      <c r="E28" s="18">
        <f>101+82+140+120+164+147</f>
        <v>754</v>
      </c>
      <c r="F28" s="19">
        <f t="shared" si="4"/>
        <v>3468</v>
      </c>
    </row>
    <row r="29" spans="1:6" x14ac:dyDescent="0.35">
      <c r="A29" s="8" t="s">
        <v>13</v>
      </c>
      <c r="B29" s="16">
        <f>49+24+43+23+48+31</f>
        <v>218</v>
      </c>
      <c r="C29" s="18">
        <f>47+32+56+37+63+42</f>
        <v>277</v>
      </c>
      <c r="D29" s="18">
        <f>59+41+45+30+36+23</f>
        <v>234</v>
      </c>
      <c r="E29" s="18">
        <f>30+15+42+21+37+16</f>
        <v>161</v>
      </c>
      <c r="F29" s="19">
        <f t="shared" si="4"/>
        <v>890</v>
      </c>
    </row>
    <row r="30" spans="1:6" x14ac:dyDescent="0.35">
      <c r="A30" s="8" t="s">
        <v>11</v>
      </c>
      <c r="B30" s="16">
        <f>342+209+308+206+413+274</f>
        <v>1752</v>
      </c>
      <c r="C30" s="18">
        <f>409+303+9+392+254+369+268+3</f>
        <v>2007</v>
      </c>
      <c r="D30" s="18">
        <f>459+309+14+383+252+324+229</f>
        <v>1970</v>
      </c>
      <c r="E30" s="18">
        <f>407+301+399+290+541+410</f>
        <v>2348</v>
      </c>
      <c r="F30" s="19">
        <f t="shared" si="4"/>
        <v>8077</v>
      </c>
    </row>
    <row r="31" spans="1:6" x14ac:dyDescent="0.35">
      <c r="A31" s="8" t="s">
        <v>12</v>
      </c>
      <c r="B31" s="16">
        <f>335+94+347+118+496+182</f>
        <v>1572</v>
      </c>
      <c r="C31" s="18">
        <f>496+128+569+148+476+135</f>
        <v>1952</v>
      </c>
      <c r="D31" s="18">
        <f>464+137+18+384+132+369+94</f>
        <v>1598</v>
      </c>
      <c r="E31" s="18">
        <f>430+148+425+137+363+108</f>
        <v>1611</v>
      </c>
      <c r="F31" s="19">
        <f t="shared" si="4"/>
        <v>6733</v>
      </c>
    </row>
    <row r="32" spans="1:6" x14ac:dyDescent="0.35">
      <c r="A32" s="8"/>
      <c r="B32" s="20"/>
      <c r="C32" s="18"/>
      <c r="D32" s="18"/>
      <c r="E32" s="18"/>
      <c r="F32" s="21"/>
    </row>
    <row r="33" spans="1:6" x14ac:dyDescent="0.35">
      <c r="A33" s="28" t="s">
        <v>15</v>
      </c>
      <c r="B33" s="29">
        <f>SUM(B34:B36)</f>
        <v>6115</v>
      </c>
      <c r="C33" s="29">
        <f t="shared" ref="C33:E33" si="5">SUM(C34:C36)</f>
        <v>6409</v>
      </c>
      <c r="D33" s="29">
        <f t="shared" si="5"/>
        <v>5926</v>
      </c>
      <c r="E33" s="29">
        <f t="shared" si="5"/>
        <v>6095</v>
      </c>
      <c r="F33" s="30">
        <f>SUM(B33:E33)</f>
        <v>24545</v>
      </c>
    </row>
    <row r="34" spans="1:6" x14ac:dyDescent="0.35">
      <c r="A34" s="8" t="s">
        <v>16</v>
      </c>
      <c r="B34" s="35">
        <f>1390+1204+1258</f>
        <v>3852</v>
      </c>
      <c r="C34" s="18">
        <f>1290+1510+1400</f>
        <v>4200</v>
      </c>
      <c r="D34" s="18">
        <f>1478+1453+1275</f>
        <v>4206</v>
      </c>
      <c r="E34" s="18">
        <f>1185+1267+1397</f>
        <v>3849</v>
      </c>
      <c r="F34" s="19">
        <f t="shared" ref="F34:F36" si="6">SUM(B34:E34)</f>
        <v>16107</v>
      </c>
    </row>
    <row r="35" spans="1:6" x14ac:dyDescent="0.35">
      <c r="A35" s="8" t="s">
        <v>17</v>
      </c>
      <c r="B35" s="16">
        <f>44+20+20</f>
        <v>84</v>
      </c>
      <c r="C35" s="16">
        <f>17+23+13</f>
        <v>53</v>
      </c>
      <c r="D35" s="16">
        <f>18+3+11</f>
        <v>32</v>
      </c>
      <c r="E35" s="18">
        <f>15+25+16</f>
        <v>56</v>
      </c>
      <c r="F35" s="19">
        <f t="shared" si="6"/>
        <v>225</v>
      </c>
    </row>
    <row r="36" spans="1:6" x14ac:dyDescent="0.35">
      <c r="A36" s="8" t="s">
        <v>18</v>
      </c>
      <c r="B36" s="16">
        <f>46+187+443+27+243+479+26+234+494</f>
        <v>2179</v>
      </c>
      <c r="C36" s="18">
        <f>68+240+456+39+335+414+47+136+421</f>
        <v>2156</v>
      </c>
      <c r="D36" s="18">
        <f>68+120+408+44+129+310+65+192+352</f>
        <v>1688</v>
      </c>
      <c r="E36" s="18">
        <f>79+224+358+73+362+437+57+124+476</f>
        <v>2190</v>
      </c>
      <c r="F36" s="19">
        <f t="shared" si="6"/>
        <v>8213</v>
      </c>
    </row>
    <row r="37" spans="1:6" x14ac:dyDescent="0.35">
      <c r="A37" s="8"/>
      <c r="B37" s="20"/>
      <c r="C37" s="18"/>
      <c r="D37" s="18"/>
      <c r="E37" s="18"/>
      <c r="F37" s="21"/>
    </row>
    <row r="38" spans="1:6" ht="15" thickBot="1" x14ac:dyDescent="0.4">
      <c r="A38" s="25" t="s">
        <v>20</v>
      </c>
      <c r="B38" s="26">
        <f>B8+B24</f>
        <v>1333627</v>
      </c>
      <c r="C38" s="26">
        <f>C8+C24</f>
        <v>1245290</v>
      </c>
      <c r="D38" s="26">
        <f t="shared" ref="D38:E38" si="7">D8+D24</f>
        <v>1238596</v>
      </c>
      <c r="E38" s="26">
        <f t="shared" si="7"/>
        <v>1036930</v>
      </c>
      <c r="F38" s="27">
        <f>F8+F24</f>
        <v>4854443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AIRCRAFT OPERATION 2011-2019</vt:lpstr>
      <vt:lpstr>Aircraft Operation 2019</vt:lpstr>
      <vt:lpstr>Aircraft Operation 2018</vt:lpstr>
      <vt:lpstr>Aircraft Operation 2017</vt:lpstr>
      <vt:lpstr>Aircraft Operation 2016</vt:lpstr>
      <vt:lpstr>Aircraft Operation 2015</vt:lpstr>
      <vt:lpstr>Aircraft Operation 2014</vt:lpstr>
      <vt:lpstr>Aircraft Operation 2013</vt:lpstr>
      <vt:lpstr>Aircraft Operation 2012</vt:lpstr>
      <vt:lpstr>Aircraft Operation 2011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 Henry</dc:creator>
  <cp:lastModifiedBy>Kamara Henry</cp:lastModifiedBy>
  <dcterms:created xsi:type="dcterms:W3CDTF">2018-10-26T16:59:56Z</dcterms:created>
  <dcterms:modified xsi:type="dcterms:W3CDTF">2020-10-14T19:12:00Z</dcterms:modified>
</cp:coreProperties>
</file>